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Hoja 1" sheetId="1" r:id="rId3"/>
    <sheet state="visible" name="Hoja 4" sheetId="2" r:id="rId4"/>
    <sheet state="visible" name="Hoja 5" sheetId="3" r:id="rId5"/>
    <sheet state="visible" name="Hoja 2" sheetId="4" r:id="rId6"/>
    <sheet state="visible" name="Hoja 3" sheetId="5" r:id="rId7"/>
  </sheets>
  <definedNames/>
  <calcPr/>
</workbook>
</file>

<file path=xl/sharedStrings.xml><?xml version="1.0" encoding="utf-8"?>
<sst xmlns="http://schemas.openxmlformats.org/spreadsheetml/2006/main" count="9625" uniqueCount="2065">
  <si>
    <t>Identificación 1</t>
  </si>
  <si>
    <t>Identificación 2</t>
  </si>
  <si>
    <t>Lugar Inicio</t>
  </si>
  <si>
    <t>Lugar Fin</t>
  </si>
  <si>
    <t>Lugar otros</t>
  </si>
  <si>
    <t>Inicio</t>
  </si>
  <si>
    <t>Fin</t>
  </si>
  <si>
    <t xml:space="preserve">Otra </t>
  </si>
  <si>
    <t>Actividad 1</t>
  </si>
  <si>
    <t>Actividad 2</t>
  </si>
  <si>
    <t>Actividad 3</t>
  </si>
  <si>
    <t>Observaciones 1</t>
  </si>
  <si>
    <t>-</t>
  </si>
  <si>
    <t>Almería-Abrucena</t>
  </si>
  <si>
    <t>Varias</t>
  </si>
  <si>
    <t>Colectivo</t>
  </si>
  <si>
    <t>Sevilla-Itálica</t>
  </si>
  <si>
    <t>¿</t>
  </si>
  <si>
    <t>Trabajo-Jornalera campo</t>
  </si>
  <si>
    <t>Pensamiento-Popular</t>
  </si>
  <si>
    <t>Escrito de Blas Infante</t>
  </si>
  <si>
    <t>Andalucía-Varias</t>
  </si>
  <si>
    <t>CCSociales-Historia</t>
  </si>
  <si>
    <t>Solo nombres y fecha de ingreso</t>
  </si>
  <si>
    <t>Córdoba</t>
  </si>
  <si>
    <t>Periodismo-Revista</t>
  </si>
  <si>
    <t>Almería</t>
  </si>
  <si>
    <t>Sevilla</t>
  </si>
  <si>
    <t>CCSociales-Historia- Prehistoria</t>
  </si>
  <si>
    <t>Enseñanza-Catedrática Universidad</t>
  </si>
  <si>
    <t>Granada</t>
  </si>
  <si>
    <t>Empresaria-Finanzas</t>
  </si>
  <si>
    <t>Pionera de la Banca</t>
  </si>
  <si>
    <t>Córdoba-La Victoria</t>
  </si>
  <si>
    <t>Activista-Memoria Histórica</t>
  </si>
  <si>
    <t>Hogar-Madre</t>
  </si>
  <si>
    <t>Medalla de Andalucía</t>
  </si>
  <si>
    <t>Politica-resistencia anti-franquista</t>
  </si>
  <si>
    <t>Activista-Memoria</t>
  </si>
  <si>
    <t>Religión-Politeismo</t>
  </si>
  <si>
    <t>Bética</t>
  </si>
  <si>
    <t>Almería-Adra. Otras</t>
  </si>
  <si>
    <t>Adra</t>
  </si>
  <si>
    <t>¿?</t>
  </si>
  <si>
    <t>Esposa-Sacerdotisa</t>
  </si>
  <si>
    <t>Varios</t>
  </si>
  <si>
    <t>Fotografas</t>
  </si>
  <si>
    <t>Escritoras</t>
  </si>
  <si>
    <t>Represaliadas-Inquisición</t>
  </si>
  <si>
    <t>Tiene otros significados en la Historia</t>
  </si>
  <si>
    <t>Córdoba-Fuente Obejuna-La Coronada</t>
  </si>
  <si>
    <t>Artista-Cantante</t>
  </si>
  <si>
    <t>Artista-Compositora</t>
  </si>
  <si>
    <t>Escritora-Poeta</t>
  </si>
  <si>
    <t>Premio Goya en 2012</t>
  </si>
  <si>
    <t>Política-Antifacismo</t>
  </si>
  <si>
    <t>Feminismo</t>
  </si>
  <si>
    <t xml:space="preserve">Asociación </t>
  </si>
  <si>
    <t>Córdoba- Villa del Río</t>
  </si>
  <si>
    <t>Enseñanza-Maestra</t>
  </si>
  <si>
    <t>Literatura-Escritora</t>
  </si>
  <si>
    <t>Rosa Aguilar</t>
  </si>
  <si>
    <t>Política-IU, PSOE</t>
  </si>
  <si>
    <t>Política-Alcaldesa, Ministra</t>
  </si>
  <si>
    <t>Jaén</t>
  </si>
  <si>
    <t>Arte-Pintura</t>
  </si>
  <si>
    <t>Paca Aguilera</t>
  </si>
  <si>
    <t xml:space="preserve">Málaga-Ronda </t>
  </si>
  <si>
    <t>Madrid</t>
  </si>
  <si>
    <t>Flamenco-Cante</t>
  </si>
  <si>
    <t>Literatura-Poesia</t>
  </si>
  <si>
    <t>Religión-Islam</t>
  </si>
  <si>
    <t>Al-Andalus</t>
  </si>
  <si>
    <t>Literatura-Poesía</t>
  </si>
  <si>
    <t>Marruecos-Fez</t>
  </si>
  <si>
    <t>Política-Reina</t>
  </si>
  <si>
    <t>Andalucía (Al-andalus)</t>
  </si>
  <si>
    <t>Sevilla-Algaba, La</t>
  </si>
  <si>
    <t>Ciencias-Química</t>
  </si>
  <si>
    <t>Sevilla-Rosales, Los</t>
  </si>
  <si>
    <t>Feminista</t>
  </si>
  <si>
    <t>Derecho-Abogada</t>
  </si>
  <si>
    <t>Política</t>
  </si>
  <si>
    <t>Valencia-Sueca</t>
  </si>
  <si>
    <t>Cádiz-Algeciras, Jérez de la Frontera</t>
  </si>
  <si>
    <t>Córdoba-Montilla</t>
  </si>
  <si>
    <t>Activista-Pro Saharaui</t>
  </si>
  <si>
    <t>Cádiz-Alcalá del Valle</t>
  </si>
  <si>
    <t>Movimiento obrero- contra represión</t>
  </si>
  <si>
    <t>Trabajo-Campesinas</t>
  </si>
  <si>
    <t>Málaga-Nerja?</t>
  </si>
  <si>
    <t>Málaga-Nerja</t>
  </si>
  <si>
    <t>?</t>
  </si>
  <si>
    <t>Represalilada-Inquisión</t>
  </si>
  <si>
    <t>Constructora</t>
  </si>
  <si>
    <t>Religión-Morisca</t>
  </si>
  <si>
    <t>Ermita de Nta. Sra- de las Angustias. Nerja</t>
  </si>
  <si>
    <t>Pasión Vega</t>
  </si>
  <si>
    <t>Málaga</t>
  </si>
  <si>
    <t>Música-Cantante</t>
  </si>
  <si>
    <t>Granada-Viznar o Alfacar</t>
  </si>
  <si>
    <t>Feminista- JUF</t>
  </si>
  <si>
    <t>Sanidad-Médica o boticaria</t>
  </si>
  <si>
    <t>Represaliada-Asesinada por los franquistas</t>
  </si>
  <si>
    <t>Se da por supuesto que Milagros Almenara y Milagros Almenara Pérez son la misma.</t>
  </si>
  <si>
    <t>Represalidas- por los franquistas.</t>
  </si>
  <si>
    <t>27 condenadas a muerte o reclusión perpétua</t>
  </si>
  <si>
    <t>Microbiografías</t>
  </si>
  <si>
    <t>Represaliadas-Por el Franquismo</t>
  </si>
  <si>
    <t>Allmería</t>
  </si>
  <si>
    <t>Grupo de Facebook</t>
  </si>
  <si>
    <t>Ciencias-Biomedicina</t>
  </si>
  <si>
    <t>Medalla de Andalucía. Lucha contra el cáncer de mama</t>
  </si>
  <si>
    <t>Escritora</t>
  </si>
  <si>
    <t>Actriz-Teatro</t>
  </si>
  <si>
    <t>Los Vélez, V Marquesa de</t>
  </si>
  <si>
    <t>Toledo-Oropesa</t>
  </si>
  <si>
    <t>Almería-Vélez-Blanco</t>
  </si>
  <si>
    <t>Política-Poder en la corte</t>
  </si>
  <si>
    <t>Noble</t>
  </si>
  <si>
    <t>Sevilla-Herrera</t>
  </si>
  <si>
    <t>Activista-Internacionalismo</t>
  </si>
  <si>
    <t>Atención infancia Saharaui</t>
  </si>
  <si>
    <t>Rosaura Álvarez</t>
  </si>
  <si>
    <t>Académica-Granada</t>
  </si>
  <si>
    <t>Activista Social</t>
  </si>
  <si>
    <t>Represaliada por el franquismo</t>
  </si>
  <si>
    <t>Política- Comunista</t>
  </si>
  <si>
    <t>En 2018 se da su nombre a una asociación memorialsta</t>
  </si>
  <si>
    <t>Huelva</t>
  </si>
  <si>
    <t>Represaliadas-Inquisición la quema</t>
  </si>
  <si>
    <t>Negocios-Estanco Tabaco</t>
  </si>
  <si>
    <t>Traducción al Inglés por Raquell Rull Morales</t>
  </si>
  <si>
    <t>Susi, La</t>
  </si>
  <si>
    <t>Alicante</t>
  </si>
  <si>
    <t>Flamenco-Cante, Baile</t>
  </si>
  <si>
    <t>Almería-Vera</t>
  </si>
  <si>
    <t>Almería-Alhama</t>
  </si>
  <si>
    <t>Sanidad-Matrona</t>
  </si>
  <si>
    <t>Represaliada por el Franquismo</t>
  </si>
  <si>
    <t>Aniya la Gitana</t>
  </si>
  <si>
    <t>Málaga-Ronda</t>
  </si>
  <si>
    <t>Sumergida-contrabando</t>
  </si>
  <si>
    <t>Gerona-Begur</t>
  </si>
  <si>
    <t>Andalucía-General</t>
  </si>
  <si>
    <t>Flamenco-Baile</t>
  </si>
  <si>
    <t>Andalucía</t>
  </si>
  <si>
    <t>Movimiento obrero-anarquista</t>
  </si>
  <si>
    <t>Granada-Colomera, La</t>
  </si>
  <si>
    <t>Patrimonio-Tradiciones</t>
  </si>
  <si>
    <t>Flamenco-Baile, cante</t>
  </si>
  <si>
    <t>Écija</t>
  </si>
  <si>
    <t>Archivos y Biblioteca</t>
  </si>
  <si>
    <t>Académica-Écija</t>
  </si>
  <si>
    <t>Religión-Monja</t>
  </si>
  <si>
    <t>Activista-Con los pobres</t>
  </si>
  <si>
    <t>Empresarias-Medio Ambiente</t>
  </si>
  <si>
    <t>Medalla de Andalucía 2021</t>
  </si>
  <si>
    <t>Feminismo-consevador</t>
  </si>
  <si>
    <t>Comercio-Empresaria</t>
  </si>
  <si>
    <t>Activismo-Patronal</t>
  </si>
  <si>
    <t>Medalla Andalucía</t>
  </si>
  <si>
    <t>Villaviciosa-Córdoba</t>
  </si>
  <si>
    <t xml:space="preserve">Villa del Río-Córdoba </t>
  </si>
  <si>
    <t>Maestra librepensadora</t>
  </si>
  <si>
    <t>Perseguida por sus ideas y actividades</t>
  </si>
  <si>
    <t xml:space="preserve">Antas-Almería, </t>
  </si>
  <si>
    <t>Argar. Granada</t>
  </si>
  <si>
    <t>Represaliada-Mozarabe</t>
  </si>
  <si>
    <t>Al-Andalus Hija de Ben Hafsum</t>
  </si>
  <si>
    <t xml:space="preserve">Vizcaya-Barakaldo </t>
  </si>
  <si>
    <t>Política-PSOE</t>
  </si>
  <si>
    <t>Almería-Huércal-Overa</t>
  </si>
  <si>
    <t>Represaliada-Muerta por reclamar Agua</t>
  </si>
  <si>
    <t>Movimiento Vecinal</t>
  </si>
  <si>
    <t>Por la Guardia Civil al reprimir una protesta vecinal</t>
  </si>
  <si>
    <t>Teruel</t>
  </si>
  <si>
    <t>Literatura-Crítica</t>
  </si>
  <si>
    <t>Valencia</t>
  </si>
  <si>
    <t>Asociación-Feminismo</t>
  </si>
  <si>
    <t>Política-Republicanismo</t>
  </si>
  <si>
    <t>Creada por Belén Sárraga, las hermanas Carvia y Ángeles López de Ayala</t>
  </si>
  <si>
    <t>Francia-Burdeos</t>
  </si>
  <si>
    <t>Libano-Beirut</t>
  </si>
  <si>
    <t>Almería-Villaricos</t>
  </si>
  <si>
    <t>CCSociales-Historia-Aqueóloga</t>
  </si>
  <si>
    <t>Especialsta en Fencio-Púnico.</t>
  </si>
  <si>
    <t>Escritora-Poesia</t>
  </si>
  <si>
    <t>Maestra</t>
  </si>
  <si>
    <t>Óbidos, Josefa de</t>
  </si>
  <si>
    <t>Portugal-Óbidos</t>
  </si>
  <si>
    <t>Cádiz-San Fernando</t>
  </si>
  <si>
    <t>CC Sociales-Pedagogía</t>
  </si>
  <si>
    <t>CC. Sociales-Historia</t>
  </si>
  <si>
    <t>Religiosa.</t>
  </si>
  <si>
    <t>Almería-Santa Fe</t>
  </si>
  <si>
    <t>En Abrucena, Mujeres de</t>
  </si>
  <si>
    <t>Sevilla-Lebrija</t>
  </si>
  <si>
    <t>Flamenco-Cante-Baile</t>
  </si>
  <si>
    <t xml:space="preserve">Represaliada-Inquisición </t>
  </si>
  <si>
    <t>Religión-La Reforma</t>
  </si>
  <si>
    <t>.</t>
  </si>
  <si>
    <t>Almería-Felíx</t>
  </si>
  <si>
    <t>Hechicera</t>
  </si>
  <si>
    <t>Represaliada-Inquisición</t>
  </si>
  <si>
    <t>Cádiz</t>
  </si>
  <si>
    <t>Roma</t>
  </si>
  <si>
    <t>Artista-Bailarina</t>
  </si>
  <si>
    <t>Ciencias-Biología</t>
  </si>
  <si>
    <t>Cádiz-Puerto Serrano</t>
  </si>
  <si>
    <t>Marbella</t>
  </si>
  <si>
    <t>Agricultura-Jornalera</t>
  </si>
  <si>
    <t>Peluquería</t>
  </si>
  <si>
    <t>María Barranco</t>
  </si>
  <si>
    <t>Artista-Actriz</t>
  </si>
  <si>
    <t>Religión-Católica</t>
  </si>
  <si>
    <t>Escritora-Poesía</t>
  </si>
  <si>
    <t>Calle de Sevilla</t>
  </si>
  <si>
    <t>Su nombre se masculinizó durante años</t>
  </si>
  <si>
    <t>Salud-Oncología</t>
  </si>
  <si>
    <t>Medalla de Andalucía 2014</t>
  </si>
  <si>
    <t>Dama de Baza</t>
  </si>
  <si>
    <t>Granada-Baza</t>
  </si>
  <si>
    <t>Cerro del Santuario. La Hoya de Baza</t>
  </si>
  <si>
    <t>Arte-Escultura</t>
  </si>
  <si>
    <t>Aristócrata</t>
  </si>
  <si>
    <t>Religión-Popular</t>
  </si>
  <si>
    <t>Franciscanas del Pozo Santo</t>
  </si>
  <si>
    <t>Religión-Monjas</t>
  </si>
  <si>
    <t>Salud-Enfermas e impedidas</t>
  </si>
  <si>
    <t>En 1979 tenían 3 centros en Sevilla</t>
  </si>
  <si>
    <t>Beauvoir, Simone de</t>
  </si>
  <si>
    <t>Francia-París</t>
  </si>
  <si>
    <t>Francia-Paris</t>
  </si>
  <si>
    <t>Escritora-Novelista</t>
  </si>
  <si>
    <t>Filosofa</t>
  </si>
  <si>
    <t>Viaja a Almería en 1960. Foto en la Alcazaba</t>
  </si>
  <si>
    <t>Política-UCD-PP</t>
  </si>
  <si>
    <t>María Bellido</t>
  </si>
  <si>
    <t>Jaén-Porcuna</t>
  </si>
  <si>
    <t>Militar-Logística Guerra Independencia</t>
  </si>
  <si>
    <t>Heroína- Batalla Bailén</t>
  </si>
  <si>
    <t>Filosofía</t>
  </si>
  <si>
    <t>Represaliada-Martir voluntaria</t>
  </si>
  <si>
    <t>Paquita</t>
  </si>
  <si>
    <t>Badajoz-Azuaga</t>
  </si>
  <si>
    <t>Blanes-Girona</t>
  </si>
  <si>
    <t>Sevilla-Alanis, Córdoba</t>
  </si>
  <si>
    <t>Militar- Guerrillera Anti-Franquista</t>
  </si>
  <si>
    <t>Granada-Alpujarras- Artefa?</t>
  </si>
  <si>
    <t>Granada-Alpujarras- Atarfa?</t>
  </si>
  <si>
    <t>Sevilla?</t>
  </si>
  <si>
    <t>Sanidad-Sanera</t>
  </si>
  <si>
    <t>En el origen de la Espesión: El Coño de la Bernarda</t>
  </si>
  <si>
    <t>Niña de Antequera</t>
  </si>
  <si>
    <t>Málaga-Antequera</t>
  </si>
  <si>
    <t>Aristocracia-dueñas de esclavos</t>
  </si>
  <si>
    <t>Sacerdotisas</t>
  </si>
  <si>
    <t>Jaén-Begijar</t>
  </si>
  <si>
    <t xml:space="preserve">Cádiz-Medina-Sidonia, </t>
  </si>
  <si>
    <t>Política-Reina Consorte</t>
  </si>
  <si>
    <t>Tía Anica la Periñaca</t>
  </si>
  <si>
    <t>Cádiz-Jerez de la Frontera</t>
  </si>
  <si>
    <t>Su famosa frase"Cuando canto a gusto me sabe la boca a sangre."</t>
  </si>
  <si>
    <t>Blanco Morales, Marcela</t>
  </si>
  <si>
    <t>Escritora-Poesia-Relato</t>
  </si>
  <si>
    <t>Empresaria-Taquigrafía-Mecanografía</t>
  </si>
  <si>
    <t>Primera academía en Cádiz de Taqui-Meca</t>
  </si>
  <si>
    <t>Almería-Fiñana</t>
  </si>
  <si>
    <t>Panadera</t>
  </si>
  <si>
    <t>Movimiento Obrero-UGT-PSOE</t>
  </si>
  <si>
    <t>Represaliada por los franquistas</t>
  </si>
  <si>
    <t>Condenada a Pena de Muerte, Conmutada por prisión</t>
  </si>
  <si>
    <t>Caballero, Fernán</t>
  </si>
  <si>
    <t>Suiza-Morges</t>
  </si>
  <si>
    <t>La más famosa escritora andaluza del XIX</t>
  </si>
  <si>
    <t>Académica-Sevilla</t>
  </si>
  <si>
    <t>Italia-Turín</t>
  </si>
  <si>
    <t>Reina Consorte de Cerdeña</t>
  </si>
  <si>
    <t>Las Palmas de Gran Canaria-Lanzarote</t>
  </si>
  <si>
    <t>Política-Condesa de Barceloan</t>
  </si>
  <si>
    <t>Condesa Consorte Madre de Juan Carlos I Medalla de Andalucía</t>
  </si>
  <si>
    <t>Sanidad-Odontóloga</t>
  </si>
  <si>
    <t>Sevilla-Écija</t>
  </si>
  <si>
    <t>Academíca-Écija</t>
  </si>
  <si>
    <t>Brujas ¿?</t>
  </si>
  <si>
    <t>Política-Reina Regente</t>
  </si>
  <si>
    <t>Merovingios</t>
  </si>
  <si>
    <t>Rossetti, Ana</t>
  </si>
  <si>
    <t>Escritora-Poesía,narrtiva, infantil...</t>
  </si>
  <si>
    <t>Colombine</t>
  </si>
  <si>
    <t xml:space="preserve">Almería-Rodalquilar 
</t>
  </si>
  <si>
    <t>Periodista</t>
  </si>
  <si>
    <t>Y pionera corresponsal de guerra, Masonería, Pedagoga, etc, etc. Auténticamente grande.</t>
  </si>
  <si>
    <t>Cádiz-Puerto Real</t>
  </si>
  <si>
    <t xml:space="preserve">Caballero, Concha </t>
  </si>
  <si>
    <t>Córdoba-Baena</t>
  </si>
  <si>
    <t>Política- Izquierda Unida</t>
  </si>
  <si>
    <t>Medalla de Andalucía 2015</t>
  </si>
  <si>
    <t>Trabajo-Fabrica de Tabaco</t>
  </si>
  <si>
    <t>Movmiento Obrero- CNT</t>
  </si>
  <si>
    <t>Represaliada-Fusilada por los franquistas</t>
  </si>
  <si>
    <t>Cádiz-Puerto Rea</t>
  </si>
  <si>
    <t xml:space="preserve">Literatura-Poesía </t>
  </si>
  <si>
    <t>Escritora-Periodista</t>
  </si>
  <si>
    <t>CCSociales-Historia del Arte</t>
  </si>
  <si>
    <t>Sarcófago femenino</t>
  </si>
  <si>
    <t>Clase dominante</t>
  </si>
  <si>
    <t>Artista-Actriz de teatro</t>
  </si>
  <si>
    <t>Chechenia</t>
  </si>
  <si>
    <t>Activismo-Cooperante Cruz Roja</t>
  </si>
  <si>
    <t>Artista-Música Clásica</t>
  </si>
  <si>
    <t>Córdoba-Santa Marina</t>
  </si>
  <si>
    <t>Universidad-Rectora</t>
  </si>
  <si>
    <t>Artista-Música-Pianista</t>
  </si>
  <si>
    <t>Córdoba-Cabra</t>
  </si>
  <si>
    <t>Derecho-Profesora</t>
  </si>
  <si>
    <t>Cádiz?</t>
  </si>
  <si>
    <t>Jaén-Villacarrillo</t>
  </si>
  <si>
    <t>Comercio-Pastelería</t>
  </si>
  <si>
    <t>Académica-Málaga</t>
  </si>
  <si>
    <t>Trina</t>
  </si>
  <si>
    <t>Artista-Dibujo</t>
  </si>
  <si>
    <t>Almería-Tijola</t>
  </si>
  <si>
    <t>Buenos Aires</t>
  </si>
  <si>
    <t>Artista-Cante Clásico</t>
  </si>
  <si>
    <t>Marruecos-Tetuán</t>
  </si>
  <si>
    <t>Periodista-Presentadora TV</t>
  </si>
  <si>
    <t>Paz Vega</t>
  </si>
  <si>
    <t>Artista-Actriz de cine</t>
  </si>
  <si>
    <t>Barcelona-Malgrat</t>
  </si>
  <si>
    <t>Puerto Rico</t>
  </si>
  <si>
    <t>Escritora-Traductora</t>
  </si>
  <si>
    <t>Alma Mater de Juan Ramón Jiménez</t>
  </si>
  <si>
    <t>Mariola Cantarero</t>
  </si>
  <si>
    <t>Música-Soprano</t>
  </si>
  <si>
    <t>Almería-Cantoria</t>
  </si>
  <si>
    <t>Campesinas</t>
  </si>
  <si>
    <t>Granada-Fuentevaqueros</t>
  </si>
  <si>
    <t>Politica-DGPrisiones</t>
  </si>
  <si>
    <t>Exiliada</t>
  </si>
  <si>
    <t>Jaén-Andújar</t>
  </si>
  <si>
    <t>Cine-Actríz</t>
  </si>
  <si>
    <t>Paca la coja</t>
  </si>
  <si>
    <t>Almería-Nijar</t>
  </si>
  <si>
    <t>Literatura-Inspira a Colombine y Lorca</t>
  </si>
  <si>
    <t>Córdoba-Montoro</t>
  </si>
  <si>
    <t>Activista-Contra el Cancer</t>
  </si>
  <si>
    <t>Manolita de Jerez</t>
  </si>
  <si>
    <t>Presas</t>
  </si>
  <si>
    <t>Literatura-Personaje</t>
  </si>
  <si>
    <t>Trabajo-Cigarrera</t>
  </si>
  <si>
    <t>1847,1875 Fechas de su publicación como Novela de Merimé y estreno de Opera de Bizet</t>
  </si>
  <si>
    <t>Nita</t>
  </si>
  <si>
    <t>Deporte-Futbol</t>
  </si>
  <si>
    <t>Represalida-social</t>
  </si>
  <si>
    <t>Pionera como futbolista</t>
  </si>
  <si>
    <t>Sevilla ¿?</t>
  </si>
  <si>
    <t>Granada ?</t>
  </si>
  <si>
    <t>Costa Este Andaluza</t>
  </si>
  <si>
    <t>Literatura-Personaje Imaginario de B.Brecht</t>
  </si>
  <si>
    <t>Sevilla-Triana</t>
  </si>
  <si>
    <t>Martín de Morales, Isabel ¿?</t>
  </si>
  <si>
    <t>Córdoba-Lora del Río</t>
  </si>
  <si>
    <t>Activista-Asociacionismo Gitano</t>
  </si>
  <si>
    <t>Trabajo Social</t>
  </si>
  <si>
    <t>Málaga-Casares</t>
  </si>
  <si>
    <t>Activista-Desvalidos y estudios</t>
  </si>
  <si>
    <t>Fundacion Francisco de Asís.</t>
  </si>
  <si>
    <t>Madrid¿?</t>
  </si>
  <si>
    <t>Feminista-organizadora</t>
  </si>
  <si>
    <t>Escritora-Librepensadora</t>
  </si>
  <si>
    <t xml:space="preserve">Masonería  </t>
  </si>
  <si>
    <t>Masonería</t>
  </si>
  <si>
    <t>Almería-Cuevas del Almanzora</t>
  </si>
  <si>
    <t xml:space="preserve">Nobleza </t>
  </si>
  <si>
    <t>Filantropa</t>
  </si>
  <si>
    <t>Medicina-Catedrática Universidad</t>
  </si>
  <si>
    <t>Primera Mujere Catedrático de Medicina en España (1980) Academica-Granada Medalla Andalucía 2020</t>
  </si>
  <si>
    <t>Córdoba-Almodovar</t>
  </si>
  <si>
    <t>Córdoba-Las Costinillas</t>
  </si>
  <si>
    <t xml:space="preserve">Movimiento Vecinal </t>
  </si>
  <si>
    <t>Movimiento. Obrero-HOAC</t>
  </si>
  <si>
    <t>Movmiento Obrero- Comunista</t>
  </si>
  <si>
    <t>Fue diputada por Cádiz.</t>
  </si>
  <si>
    <t>Hª Alimentación. Bajo medieval. Australia</t>
  </si>
  <si>
    <t>A Coruña</t>
  </si>
  <si>
    <t>Córdoba-Villanueva de Córdoba</t>
  </si>
  <si>
    <t>Medalla de Andalucía Ficha de Autor en B.V.M,C, Academia-Córdoba</t>
  </si>
  <si>
    <t>Dora La Cordobesita</t>
  </si>
  <si>
    <t>Artista-Cante Tonadilla</t>
  </si>
  <si>
    <t>Modelo de Julio Romero de torres. Anis La Cordobesa</t>
  </si>
  <si>
    <t>Artista-Cante y Baile</t>
  </si>
  <si>
    <t>Grande de la Copla. Exitos como María de la O</t>
  </si>
  <si>
    <t>Barón, Lita</t>
  </si>
  <si>
    <t>Estados Uniddos-Palm Dprimgs</t>
  </si>
  <si>
    <t>Estados Unidos-Hollywood</t>
  </si>
  <si>
    <t>Artista- Actriz de cine</t>
  </si>
  <si>
    <t>Cayuela Campoy, María Ángeles</t>
  </si>
  <si>
    <t>Empresaria-Pesca</t>
  </si>
  <si>
    <t>Asociacionismo Femenino</t>
  </si>
  <si>
    <t xml:space="preserve"> Medalla Andalucía 2023</t>
  </si>
  <si>
    <t>Almería-Adra</t>
  </si>
  <si>
    <t>Religión-Sacerdotisa</t>
  </si>
  <si>
    <t>Activista-Cultural</t>
  </si>
  <si>
    <t>Famosa como niña prodigio de saber</t>
  </si>
  <si>
    <t>Organiza Tertulias de alto nivel intelectual</t>
  </si>
  <si>
    <t>Bádajoz-Arroyo de San Servan</t>
  </si>
  <si>
    <t>Ciencias-Veterinaria</t>
  </si>
  <si>
    <t>Primera licenciada en Veterinaia del español</t>
  </si>
  <si>
    <t>Granada- Alhama de Granada</t>
  </si>
  <si>
    <t>Medicina-Cirujana</t>
  </si>
  <si>
    <t>Transexual</t>
  </si>
  <si>
    <t>Primera Mujer cirujano de España.</t>
  </si>
  <si>
    <t>Activista-Ayuda humanitaria</t>
  </si>
  <si>
    <t xml:space="preserve">Pensadora Gaditana, La </t>
  </si>
  <si>
    <t>Feminismo-Pre</t>
  </si>
  <si>
    <t>¿Realidad o Pseudoónimo? Entre Jul. de 1763 y Jul. de 1764  publica La pensadora Gaditana</t>
  </si>
  <si>
    <t>Ciencias</t>
  </si>
  <si>
    <t>Sanidad</t>
  </si>
  <si>
    <t>Represaliadas por el Franquismo</t>
  </si>
  <si>
    <t>Colectivo, situaciones diversas</t>
  </si>
  <si>
    <t>Cigarreras de Sevilla</t>
  </si>
  <si>
    <t>Movimiento Obrero</t>
  </si>
  <si>
    <t>Trabajo-cigarrera</t>
  </si>
  <si>
    <t xml:space="preserve">Literatura-Personajes
</t>
  </si>
  <si>
    <t>1812 Primeras cigarreras en Sevilla. 2007 cierra la fábrica de tabaco.</t>
  </si>
  <si>
    <t>Soria</t>
  </si>
  <si>
    <t>Córdoba-Jauja</t>
  </si>
  <si>
    <t>Tendera</t>
  </si>
  <si>
    <t>Maestra voluntaira</t>
  </si>
  <si>
    <t>Represaliads-asesinada por el franquismo</t>
  </si>
  <si>
    <t xml:space="preserve">Cobos Losúa, Amantina </t>
  </si>
  <si>
    <t>Patrocinio Amancia / Cobos de Villalobos, Amantina</t>
  </si>
  <si>
    <t>León-Astorga</t>
  </si>
  <si>
    <t>Activismo cultural y por la Mujer</t>
  </si>
  <si>
    <t>Política-Comunista JSU</t>
  </si>
  <si>
    <t>Represaliada por el franquismo-Cárcel</t>
  </si>
  <si>
    <t>Y luego sufre duras condiciones de vida por su condición militante.</t>
  </si>
  <si>
    <t>Cine-Actriz</t>
  </si>
  <si>
    <t>Estrella durante la República</t>
  </si>
  <si>
    <t>Religión-Martir Voluntaria</t>
  </si>
  <si>
    <t>Guinea</t>
  </si>
  <si>
    <t>Esclava</t>
  </si>
  <si>
    <t>Andalucía-todas las provincias</t>
  </si>
  <si>
    <t>Varias profesiones</t>
  </si>
  <si>
    <t>Publicación de 2006</t>
  </si>
  <si>
    <t>CCSociales-Psicología</t>
  </si>
  <si>
    <t>Profesora-Universidad</t>
  </si>
  <si>
    <t>Murcia-Cartagena</t>
  </si>
  <si>
    <t>Madrid-Majadahonda</t>
  </si>
  <si>
    <t>Escritora-RAE</t>
  </si>
  <si>
    <t>Anarco-Feminista</t>
  </si>
  <si>
    <t>Entra en la RAE en 1979, NO había en esa fecha nínguna otra mujer</t>
  </si>
  <si>
    <t>Música-Compositora</t>
  </si>
  <si>
    <t>Córdoba-Villaviciosa</t>
  </si>
  <si>
    <t>Madrid-Getafe</t>
  </si>
  <si>
    <t>Francia</t>
  </si>
  <si>
    <t>Política-PCE</t>
  </si>
  <si>
    <t>Represaliada por el franquismo-exiliada</t>
  </si>
  <si>
    <t>Escritoras-Copistas</t>
  </si>
  <si>
    <t>Científica-Biomédica</t>
  </si>
  <si>
    <t>Medalla de Andalucía 2015.  Experta en enfermedades contagiosas.</t>
  </si>
  <si>
    <t>Variado</t>
  </si>
  <si>
    <t xml:space="preserve">Cornejo Sánchez,Mariana </t>
  </si>
  <si>
    <t>Mariana de Cádiz</t>
  </si>
  <si>
    <t>Maestra chuflillas y tanquillos</t>
  </si>
  <si>
    <t>Contra Acoso Machista</t>
  </si>
  <si>
    <t>De Pedro I de Castilla</t>
  </si>
  <si>
    <t>Matilde Coral</t>
  </si>
  <si>
    <t>Activista-Discapacidad</t>
  </si>
  <si>
    <t>Cargos de importancia Medalla de Andalucía</t>
  </si>
  <si>
    <t>Política-Partido Popular</t>
  </si>
  <si>
    <t>Alcaldesa, Delegas del Gobierno, Parlamentaria andaluza</t>
  </si>
  <si>
    <t>CCsociales-Economía</t>
  </si>
  <si>
    <t>Deportes-Esquí</t>
  </si>
  <si>
    <t>Córdoba-Aguilar</t>
  </si>
  <si>
    <t>Represaliada-Inquisición, Embaucadora</t>
  </si>
  <si>
    <t>Feminismo-Sufragismo</t>
  </si>
  <si>
    <t>Cuesta Llamas, Belén</t>
  </si>
  <si>
    <t>Actriz-Cine</t>
  </si>
  <si>
    <t>Premio Goya 2019. Medalla Andalucía 2022</t>
  </si>
  <si>
    <t>Inma Cuesta</t>
  </si>
  <si>
    <t>Medalla de Andalucía 2019</t>
  </si>
  <si>
    <t>Cuetas, Las</t>
  </si>
  <si>
    <t>Sklodowska</t>
  </si>
  <si>
    <t>Polonia-Varsovia</t>
  </si>
  <si>
    <t>Francis-Passy</t>
  </si>
  <si>
    <t>Andalucía-viaje</t>
  </si>
  <si>
    <t>Científica- Física</t>
  </si>
  <si>
    <t>Científica- Química</t>
  </si>
  <si>
    <t>2 premios Nobel . Viaje a Granada, Córdoba, Málaga, Almería,</t>
  </si>
  <si>
    <t>Dama de Marfil, La</t>
  </si>
  <si>
    <t>Sevilla-Valencina de la Concepción</t>
  </si>
  <si>
    <t>Poderosa-Alto estatus</t>
  </si>
  <si>
    <t>Politica</t>
  </si>
  <si>
    <t>Edad del Cobre</t>
  </si>
  <si>
    <t>Sevilla-Marchena</t>
  </si>
  <si>
    <t>Religión</t>
  </si>
  <si>
    <t>Fama de sabiduria y ascetismo</t>
  </si>
  <si>
    <t>Criada</t>
  </si>
  <si>
    <t>Murió quemada para salvar el honor de su ama</t>
  </si>
  <si>
    <t>Almería-Lijar</t>
  </si>
  <si>
    <t>Militar-Mito</t>
  </si>
  <si>
    <t>Fanny</t>
  </si>
  <si>
    <t xml:space="preserve"> Francia</t>
  </si>
  <si>
    <t>Cádiz, Chile</t>
  </si>
  <si>
    <t>Educación-Promotora</t>
  </si>
  <si>
    <t>Política-Liberal</t>
  </si>
  <si>
    <t>Primera escuela de muchachas en Chile, 1928</t>
  </si>
  <si>
    <t>Maharaní de Kapurthala</t>
  </si>
  <si>
    <t xml:space="preserve">Málaga
</t>
  </si>
  <si>
    <t xml:space="preserve">Madrid
</t>
  </si>
  <si>
    <t>India-Kapurtala</t>
  </si>
  <si>
    <t>Política-Maharani</t>
  </si>
  <si>
    <t>Sevilla-Ecija</t>
  </si>
  <si>
    <t>Literataura-Poesía</t>
  </si>
  <si>
    <t>Finalista Premio Nadal ( veces)</t>
  </si>
  <si>
    <t>Represaliada-Franquismo</t>
  </si>
  <si>
    <t>Trabajo-Campesina</t>
  </si>
  <si>
    <t>Militar-Guerrillera</t>
  </si>
  <si>
    <t>Abuela del Vacíe</t>
  </si>
  <si>
    <t>Longevidad</t>
  </si>
  <si>
    <t>Grande de la escena andaluza. Los Quintero escriben obras para ella´</t>
  </si>
  <si>
    <t>Marujita Díaz</t>
  </si>
  <si>
    <t>Activista-Conservación Naturaleza</t>
  </si>
  <si>
    <t>Empresaria-Turismo</t>
  </si>
  <si>
    <t>Cádiz-SanLucar de Barrameda</t>
  </si>
  <si>
    <t>CCSociales-Histsoria.</t>
  </si>
  <si>
    <t>Academía-Historia. Americanista, Felipinista</t>
  </si>
  <si>
    <t>Antonia Díaz de Lamarque</t>
  </si>
  <si>
    <t>Sevilla-Dos Hermanas</t>
  </si>
  <si>
    <t>Movimiento Obrero-Anarquista FTRE</t>
  </si>
  <si>
    <t>Relevancia en el Congreso de Sevilla 1882</t>
  </si>
  <si>
    <t>Literatura-Narrativa</t>
  </si>
  <si>
    <t>Italia-Roma</t>
  </si>
  <si>
    <t>Política-Noble</t>
  </si>
  <si>
    <t>Hermana y enemiga de Adriano</t>
  </si>
  <si>
    <t>Malí-Tombuctú</t>
  </si>
  <si>
    <t>Artista-Baile,copla</t>
  </si>
  <si>
    <t>Enseñanza-Música</t>
  </si>
  <si>
    <t>Medalla de Andalucia</t>
  </si>
  <si>
    <t>Barcelona</t>
  </si>
  <si>
    <t>Espiritista</t>
  </si>
  <si>
    <t>Rebelde y libertaria</t>
  </si>
  <si>
    <t>Huelva-Bollullos Par del Condado</t>
  </si>
  <si>
    <t>Ciencias-Matemáticas</t>
  </si>
  <si>
    <t>Represaliada por el Franquismo-Depurada</t>
  </si>
  <si>
    <t xml:space="preserve"> Aizpuru, Juana de</t>
  </si>
  <si>
    <t>Valladolid</t>
  </si>
  <si>
    <t>Arte-Galerista</t>
  </si>
  <si>
    <t>Fundadora de Arco</t>
  </si>
  <si>
    <t>Huelva-Paterna del campo</t>
  </si>
  <si>
    <t>Ajusticiada</t>
  </si>
  <si>
    <t>Sirvienta</t>
  </si>
  <si>
    <t>Famoso caso de triple asesinato</t>
  </si>
  <si>
    <t>Activista-Animadora social</t>
  </si>
  <si>
    <t>Música-Violín</t>
  </si>
  <si>
    <t>Dauset. Carmencita</t>
  </si>
  <si>
    <t>Estados Unidos-Pensilvania-Aliquippa</t>
  </si>
  <si>
    <t>Bailaora</t>
  </si>
  <si>
    <t>Modelo artístico</t>
  </si>
  <si>
    <t>Cine</t>
  </si>
  <si>
    <t>Grabaciones de cine experimentales con Edison</t>
  </si>
  <si>
    <t>Activista-Enfermedades Mentales (Integración)</t>
  </si>
  <si>
    <t>Tejedora</t>
  </si>
  <si>
    <t>Eduardo Gómez. José</t>
  </si>
  <si>
    <t>Petroleo, La</t>
  </si>
  <si>
    <t>Artista-Cante-Baile</t>
  </si>
  <si>
    <t>Duo con La Salvaora.</t>
  </si>
  <si>
    <t>Navarra-Orbaiceta</t>
  </si>
  <si>
    <t>CCSociales-Arqueóloga</t>
  </si>
  <si>
    <t>Directora Museo</t>
  </si>
  <si>
    <t>Enseñanza-Árabe y Hebreo</t>
  </si>
  <si>
    <t>Primera Profesora de la Universidad de Granada</t>
  </si>
  <si>
    <t>Palestina</t>
  </si>
  <si>
    <t>Activista-Animación Cultural</t>
  </si>
  <si>
    <t>Sevilla-La Campana</t>
  </si>
  <si>
    <t>Arte-Bordadora</t>
  </si>
  <si>
    <t>Lola Montes o Montez</t>
  </si>
  <si>
    <t>Escocia-Limerick</t>
  </si>
  <si>
    <t>Estados Unidos-Nueva York</t>
  </si>
  <si>
    <t>Andalucía-Sevilla</t>
  </si>
  <si>
    <t>Artista-Baile</t>
  </si>
  <si>
    <t>Andaluza por elección Escandalos sonados</t>
  </si>
  <si>
    <t>Sociedad :La Libertad</t>
  </si>
  <si>
    <t>Almería-Huercal de Almería</t>
  </si>
  <si>
    <t>Almería-Bajo Andarax, Comarca</t>
  </si>
  <si>
    <t>Trabajadoras-Embarriladoras de uva</t>
  </si>
  <si>
    <t>Valencia-Manises</t>
  </si>
  <si>
    <t>Emigrante</t>
  </si>
  <si>
    <t>Sanidad-Curandera</t>
  </si>
  <si>
    <t>Trabajo-Ceramista</t>
  </si>
  <si>
    <t>Religión-Cofradía</t>
  </si>
  <si>
    <t>Cofradía  Sólo Femenina en el S. XVI</t>
  </si>
  <si>
    <t>Almería-Plaza de Pavía</t>
  </si>
  <si>
    <t>Almería-Pechina</t>
  </si>
  <si>
    <t>Enseñanza-Profesora</t>
  </si>
  <si>
    <t>Enfermeras de la Bola Azul</t>
  </si>
  <si>
    <t>Sanidad-Enfermeria</t>
  </si>
  <si>
    <t>Primera Promocion ATS en Almería.</t>
  </si>
  <si>
    <t>Córdoba-Montemayor</t>
  </si>
  <si>
    <t>Activista-Atención desvalidos</t>
  </si>
  <si>
    <t>Cordoba-Santa María de Trassierra</t>
  </si>
  <si>
    <t>Cordoba</t>
  </si>
  <si>
    <t>Amante y cuidadora de los hijos de Cristobal Colón</t>
  </si>
  <si>
    <t>Literatura-Teatro,poesía</t>
  </si>
  <si>
    <t>Sirve de inspiración a Lope de Vega</t>
  </si>
  <si>
    <t>Durante 20 años la única colegida de Córdoba</t>
  </si>
  <si>
    <t>Enseñanza-Profesora Literatura</t>
  </si>
  <si>
    <t>Empresria-Ganadería Toros</t>
  </si>
  <si>
    <t>Cádiz-Campo de Gibraltar</t>
  </si>
  <si>
    <t>Medalla Andalucía 2016</t>
  </si>
  <si>
    <t>Relación de nombres</t>
  </si>
  <si>
    <t>Málaga-Estepona</t>
  </si>
  <si>
    <t>Empresaria-Máquinas de escribir</t>
  </si>
  <si>
    <t>Presidenta Asociación Nacional de Mujeres Españolas (ANME)</t>
  </si>
  <si>
    <t>Valenzuela. Laura</t>
  </si>
  <si>
    <t>Presentadora TV</t>
  </si>
  <si>
    <t xml:space="preserve">Culantra, La </t>
  </si>
  <si>
    <t>Sevillla</t>
  </si>
  <si>
    <t>Represalliada por el franquismo- fusilada.</t>
  </si>
  <si>
    <t>Altruismo</t>
  </si>
  <si>
    <t>Recuerda inundaciones de 1891</t>
  </si>
  <si>
    <t>Huesca-Jaca</t>
  </si>
  <si>
    <t>Feminista-Contra violencia de genero</t>
  </si>
  <si>
    <t>Empresaria-Contra violencia de género</t>
  </si>
  <si>
    <t>Irak-Bagdad?</t>
  </si>
  <si>
    <t>Música-Canto(Qaina)</t>
  </si>
  <si>
    <t>Al-Andalus Época Abderraman II</t>
  </si>
  <si>
    <t>Los Vélez, VII Marquesa de</t>
  </si>
  <si>
    <t>Noble-Grande de España</t>
  </si>
  <si>
    <t>Nobleza-Gran Propietaria</t>
  </si>
  <si>
    <t>Libera a esclavas moriscas en su testamento</t>
  </si>
  <si>
    <t>Política-</t>
  </si>
  <si>
    <t>Inicia dinastia en reino Nazarí.</t>
  </si>
  <si>
    <t>Nuna Fatima</t>
  </si>
  <si>
    <t>CórdobaSevilla</t>
  </si>
  <si>
    <t>Religión-Sufí islam</t>
  </si>
  <si>
    <t>Maestra de Ibn Arabi</t>
  </si>
  <si>
    <t>Ciencias-Astronomía</t>
  </si>
  <si>
    <t>Ciencias-Farmacia</t>
  </si>
  <si>
    <t xml:space="preserve">Ciencias Biología </t>
  </si>
  <si>
    <t>Académica-Granada Decana Facultad</t>
  </si>
  <si>
    <t>Enseñanza-Filología española</t>
  </si>
  <si>
    <t>Andalucismo Histórico</t>
  </si>
  <si>
    <t>Granada-Zujar</t>
  </si>
  <si>
    <t>Intersexual</t>
  </si>
  <si>
    <t>Primera Intersexual andaluza conocida</t>
  </si>
  <si>
    <t>Ciencias-Mineralogía</t>
  </si>
  <si>
    <t>Medalla de Andalucìa</t>
  </si>
  <si>
    <t>Granada-Illora</t>
  </si>
  <si>
    <t>Emigrante-Alemania</t>
  </si>
  <si>
    <t>Madre-Hogar</t>
  </si>
  <si>
    <t>Varios: ambulante, limpieza</t>
  </si>
  <si>
    <t>Madre de las primeras gitanas universitarias de Granada</t>
  </si>
  <si>
    <t>Vigo</t>
  </si>
  <si>
    <t>Sevilla, Cádiz</t>
  </si>
  <si>
    <t>Ciencias-Física</t>
  </si>
  <si>
    <t>Nanopartículas</t>
  </si>
  <si>
    <t>Servicios Sociales-Orientadora Laboral</t>
  </si>
  <si>
    <t>Sevilla-Morón de la Frontera</t>
  </si>
  <si>
    <t>Viana, Luis de</t>
  </si>
  <si>
    <t>Cantabria-Santander</t>
  </si>
  <si>
    <t>Madrid?</t>
  </si>
  <si>
    <t>Escritora-Perdiodista</t>
  </si>
  <si>
    <t>Escribe para Mexico bajo pseudónimo</t>
  </si>
  <si>
    <t xml:space="preserve"> Activista-Liberal</t>
  </si>
  <si>
    <t>Represaliada por Fernando VI</t>
  </si>
  <si>
    <t>Música-Piano</t>
  </si>
  <si>
    <t>Enseñanza-Conservatorio</t>
  </si>
  <si>
    <t xml:space="preserve">Casa Rábago, Marquesa de </t>
  </si>
  <si>
    <t>Activista-Atención necesitados, escuela</t>
  </si>
  <si>
    <t>Presidenta de la Junta de Damas de la Sociedad Económica de Amigos del País de Cádiz</t>
  </si>
  <si>
    <t xml:space="preserve">Cádiz-Sanlucar de Barrameda </t>
  </si>
  <si>
    <t>Jaén-Úbeda</t>
  </si>
  <si>
    <t>En 2003 tenía 35 nietos</t>
  </si>
  <si>
    <t>Gestión-Agente Seguro</t>
  </si>
  <si>
    <t>Fundación ONCE</t>
  </si>
  <si>
    <t>Cádiz-Algeciras</t>
  </si>
  <si>
    <t>Poeta</t>
  </si>
  <si>
    <t>Maestra y Profesora</t>
  </si>
  <si>
    <t>Directora de la revista "2 orillas"</t>
  </si>
  <si>
    <t>Perrata, Maria la</t>
  </si>
  <si>
    <t>Sevilla-Utrera</t>
  </si>
  <si>
    <t>Almería-Alcolea</t>
  </si>
  <si>
    <t>Enseñanza-Profesora de Geografía e Historia</t>
  </si>
  <si>
    <t>Persona emblemática de IES Nicolás Salmerón</t>
  </si>
  <si>
    <t>Soleá, María</t>
  </si>
  <si>
    <t>Flamenco-Cante, baile</t>
  </si>
  <si>
    <t>Tirana, La</t>
  </si>
  <si>
    <t>Arte-Pintura Modelo</t>
  </si>
  <si>
    <t>La pintó Goya</t>
  </si>
  <si>
    <t>Badajoz-Campillo de Llerena</t>
  </si>
  <si>
    <t>Serneta, Mercé la</t>
  </si>
  <si>
    <t>Una de las más grandes</t>
  </si>
  <si>
    <t>Tarragona-Tortosa</t>
  </si>
  <si>
    <t>CCSociales-Museo</t>
  </si>
  <si>
    <t>CCSociales-Arqueología</t>
  </si>
  <si>
    <t>Directora del Museo Arqueológico de Sevilla</t>
  </si>
  <si>
    <t>Alicante-Torrevieja</t>
  </si>
  <si>
    <t>Murcia-La Unión</t>
  </si>
  <si>
    <t>Flamenco-Cante minero</t>
  </si>
  <si>
    <t xml:space="preserve">Alba, Duquesa de </t>
  </si>
  <si>
    <t>Empresaria-Terrateniente</t>
  </si>
  <si>
    <t xml:space="preserve">Académica-Sevilla Medalla de Andalucía Records de Títulos nobiliarios y subvenciones Unión Europea
</t>
  </si>
  <si>
    <t>Flora y María, Santas</t>
  </si>
  <si>
    <t>Religión-Abadesa</t>
  </si>
  <si>
    <t>Fundadora de conventos</t>
  </si>
  <si>
    <t>Chunga, La</t>
  </si>
  <si>
    <t>Francia-Marsella</t>
  </si>
  <si>
    <t>Rumbas. Hija emigrantes</t>
  </si>
  <si>
    <t>Navarra-Tudela</t>
  </si>
  <si>
    <t>Marisol</t>
  </si>
  <si>
    <t xml:space="preserve">Artista-Actriz 
</t>
  </si>
  <si>
    <t>Flores Ruiz, Dolores</t>
  </si>
  <si>
    <t>Lola Flores</t>
  </si>
  <si>
    <t>Artista-Cante</t>
  </si>
  <si>
    <t>Genial y Mediática. Vida y Obra. Hija Predilecta de Andalucía 2023. A Título postumo.</t>
  </si>
  <si>
    <t>Política-Falange</t>
  </si>
  <si>
    <t>Reformas legales para la mujer</t>
  </si>
  <si>
    <t>Cádiz-Torre Alháquime</t>
  </si>
  <si>
    <t>Cádiz-Grazalema</t>
  </si>
  <si>
    <t>Madre-Muere al parir</t>
  </si>
  <si>
    <t>Esposa de José María el Tempranillo</t>
  </si>
  <si>
    <t>Jaén-Ubeda</t>
  </si>
  <si>
    <t>Andalucia</t>
  </si>
  <si>
    <t>Conventos en ciudades varias</t>
  </si>
  <si>
    <t>Enseñanza y Atención desvalidos</t>
  </si>
  <si>
    <t>En varias provincias</t>
  </si>
  <si>
    <t>Enseñanza-Escuelas Católicas</t>
  </si>
  <si>
    <t>Ana María Franco Guevara</t>
  </si>
  <si>
    <t>Cádiz-La Carraca</t>
  </si>
  <si>
    <t>Calle en Almería "Ana Franco"</t>
  </si>
  <si>
    <t xml:space="preserve">Andalucía </t>
  </si>
  <si>
    <t>Trabajadoras</t>
  </si>
  <si>
    <t>Almería-Antas</t>
  </si>
  <si>
    <t>Enseñanza-Catedrática de Normal</t>
  </si>
  <si>
    <t>Alumna predilecta de Celia Viñas</t>
  </si>
  <si>
    <t>Académica-varias</t>
  </si>
  <si>
    <t>Argentina-Buenos Aires</t>
  </si>
  <si>
    <t>Fundadoras-Ciudad</t>
  </si>
  <si>
    <t>Artista-Baile y música</t>
  </si>
  <si>
    <t>Coordinadora Red Española de AereoBiología en 2011 Medalla de Andalucía</t>
  </si>
  <si>
    <t>Granada-Galera</t>
  </si>
  <si>
    <t>Religión-Diosa Astarté?</t>
  </si>
  <si>
    <t>Es una estatua fenicia</t>
  </si>
  <si>
    <t>Enseñanza-Profesora Instituto</t>
  </si>
  <si>
    <t>Protgonista de Solas en 1999 Medalla e Hija Predilecta de Andalucía. Académica-Sevilla.</t>
  </si>
  <si>
    <t>Música-Profesora</t>
  </si>
  <si>
    <t>Dio clasea a Manuel de Falla</t>
  </si>
  <si>
    <t>Gálvez Marín, Fátima</t>
  </si>
  <si>
    <t>Deportista-Tiro Olímpico</t>
  </si>
  <si>
    <t>Medalla Andalucía 2022</t>
  </si>
  <si>
    <t>María Rosa Gálvez de Cabrera</t>
  </si>
  <si>
    <t>Málaga-Macharaviaya</t>
  </si>
  <si>
    <t>Escritora-Teatro y poesía</t>
  </si>
  <si>
    <t>Garbín Alonso, Ana</t>
  </si>
  <si>
    <t>Anita</t>
  </si>
  <si>
    <t>Francia-Béziers</t>
  </si>
  <si>
    <t>Movimiento obrero-CNT</t>
  </si>
  <si>
    <t>Represión franquista-Exiliada</t>
  </si>
  <si>
    <t>Costurera</t>
  </si>
  <si>
    <t>Icono fotográfico de las milicianas.</t>
  </si>
  <si>
    <t>Córdoba-La Rambla</t>
  </si>
  <si>
    <t>Jaén-Villanueva del Arzobispo</t>
  </si>
  <si>
    <t>Hechicería-Ensalmadora</t>
  </si>
  <si>
    <t>Sevilla-Estepa</t>
  </si>
  <si>
    <t>Málaga-Marbella</t>
  </si>
  <si>
    <t xml:space="preserve">  Almería–Sorbas</t>
  </si>
  <si>
    <t>Málaga, Cádiz, Valencia</t>
  </si>
  <si>
    <t>Enseñanzas-Maestra</t>
  </si>
  <si>
    <t>Represaliada-Por el franquismo</t>
  </si>
  <si>
    <t>Movimiento Obrero- Fete-UGT</t>
  </si>
  <si>
    <t>Enseñanza-Profesora instituto</t>
  </si>
  <si>
    <t xml:space="preserve"> Carmen Sevilla</t>
  </si>
  <si>
    <t>Artista-Actriz y cantante</t>
  </si>
  <si>
    <t>Televisión-Presentadora</t>
  </si>
  <si>
    <t>Almería-Cuevas del Almanzora-Muleria</t>
  </si>
  <si>
    <t xml:space="preserve">Militar-Cocinera </t>
  </si>
  <si>
    <t>Represaliada-Exilioi</t>
  </si>
  <si>
    <t>Cocinera Columna Durruti</t>
  </si>
  <si>
    <t>Niña Pastori</t>
  </si>
  <si>
    <t>Artista- Cantante- Flamenco</t>
  </si>
  <si>
    <t>Medalla de Andalucía 2018</t>
  </si>
  <si>
    <t>Gata Cattana</t>
  </si>
  <si>
    <t>Córdoba-Adamuz</t>
  </si>
  <si>
    <t>Música- Cantante de Rap</t>
  </si>
  <si>
    <t>Filosofa-feminista</t>
  </si>
  <si>
    <t>Activista social- andalucista</t>
  </si>
  <si>
    <t>También utilizo el nombre Ana Sforza</t>
  </si>
  <si>
    <t>Hogar-Hija en familia numerosísima</t>
  </si>
  <si>
    <t>Recuerdos autobiográficos</t>
  </si>
  <si>
    <t>París</t>
  </si>
  <si>
    <t>Música-Pianista</t>
  </si>
  <si>
    <t>Académica Córdoba</t>
  </si>
  <si>
    <t>Represaliada- asesinada atentado ETA</t>
  </si>
  <si>
    <t>Escocia-Aberdeen</t>
  </si>
  <si>
    <t>Ciencias-Bioquímica</t>
  </si>
  <si>
    <t>Junta Energía Nuclear</t>
  </si>
  <si>
    <t>Empresa-Ganadería ecológica</t>
  </si>
  <si>
    <t>Medalla de Andalucía.</t>
  </si>
  <si>
    <t>Almería-Albanchez</t>
  </si>
  <si>
    <t>México- Monterrey</t>
  </si>
  <si>
    <t>Activista-Salva a perseguidos</t>
  </si>
  <si>
    <t>Exiliada-Francia,Mexico</t>
  </si>
  <si>
    <t>Salud-Enfermera</t>
  </si>
  <si>
    <t>Antonia la retratista</t>
  </si>
  <si>
    <t>Jeán-Guarromán</t>
  </si>
  <si>
    <t>Jaén-La Carolina</t>
  </si>
  <si>
    <t>Almería-Bedar-Los Gallardos</t>
  </si>
  <si>
    <t>Fotografa</t>
  </si>
  <si>
    <t>Peluquera</t>
  </si>
  <si>
    <t>Retrata Bedar y los Gallardos 1945-1990</t>
  </si>
  <si>
    <t>Estados Unidos-Nueva-York</t>
  </si>
  <si>
    <t>Literatura-Difusión</t>
  </si>
  <si>
    <t>Directora del Centro Federico García-Lorca</t>
  </si>
  <si>
    <t>Militar-Aviación</t>
  </si>
  <si>
    <t>Medalla de Andalucía 2018. Pionera como piloto de caza</t>
  </si>
  <si>
    <t>Madre. 23 partos</t>
  </si>
  <si>
    <t>Represaliada- Fusilada por el Franquismo</t>
  </si>
  <si>
    <t>Tinajera, La</t>
  </si>
  <si>
    <t>MIlitar- Espia Guerra de la Independencia</t>
  </si>
  <si>
    <t xml:space="preserve">Represaliada- Por invasor francés </t>
  </si>
  <si>
    <t>Eva Yerbabuena</t>
  </si>
  <si>
    <t>Alemania-Frankfurt</t>
  </si>
  <si>
    <t xml:space="preserve">españoleta, la </t>
  </si>
  <si>
    <t>Política-Izquierda Republicana</t>
  </si>
  <si>
    <t>Juntas Liberalistas</t>
  </si>
  <si>
    <t>Portavoz de la Agrupación Feminista Lilberallista</t>
  </si>
  <si>
    <t>En cine María de la O</t>
  </si>
  <si>
    <t>al-Gassaniya al- Bayyaniya</t>
  </si>
  <si>
    <t>al-Andalus-Taifa de Almería</t>
  </si>
  <si>
    <t xml:space="preserve">Gatell Comas, Angelina </t>
  </si>
  <si>
    <t>Barcelona,</t>
  </si>
  <si>
    <t>Actriz</t>
  </si>
  <si>
    <t>Activista Social y Cultural</t>
  </si>
  <si>
    <t>Relación con Celia Vñasy Arturo Medina</t>
  </si>
  <si>
    <t>Almería?</t>
  </si>
  <si>
    <t>Poesía</t>
  </si>
  <si>
    <t>Gessler Shaw, Alejandrina</t>
  </si>
  <si>
    <t>Madame Anselma</t>
  </si>
  <si>
    <t>Pintora</t>
  </si>
  <si>
    <t>Murcia</t>
  </si>
  <si>
    <t>Activista-Cuida Huefanos</t>
  </si>
  <si>
    <t xml:space="preserve">Religión-Monja </t>
  </si>
  <si>
    <t>Funda Hermanas Franciscanas de la Purísima Concepción</t>
  </si>
  <si>
    <t>Perla de Cádiz</t>
  </si>
  <si>
    <t>Activista-Beneficencia</t>
  </si>
  <si>
    <t>Fundadora del Monte de piedad de Almería</t>
  </si>
  <si>
    <t>Carmen Giménez Garcia</t>
  </si>
  <si>
    <t>Las fuentes difieren en cuanto a su nombre de Pila</t>
  </si>
  <si>
    <t>Rita la Cantaora</t>
  </si>
  <si>
    <t>Castellón-Zorita del Maestrazgo</t>
  </si>
  <si>
    <t>La del dicho "eso a Rita la cataora"</t>
  </si>
  <si>
    <t>Guadalmedina, Lavandera de</t>
  </si>
  <si>
    <t>Lavandera</t>
  </si>
  <si>
    <t>Represaliada-fusilada por los franquistas</t>
  </si>
  <si>
    <t xml:space="preserve">Activista-Animación Cultural
</t>
  </si>
  <si>
    <t>Hostelería-Bar</t>
  </si>
  <si>
    <t>Peregrina, La</t>
  </si>
  <si>
    <t>Cuba-Camagüey</t>
  </si>
  <si>
    <t>Literatura-Novela, Teatro, Poesia, Prensa</t>
  </si>
  <si>
    <t>Gran éxito. Impiden entrar en la academía por ser mujer</t>
  </si>
  <si>
    <t>Almería-Roquetas de Mar</t>
  </si>
  <si>
    <t>Sanidad- Matrona</t>
  </si>
  <si>
    <t>Almería-Balerma</t>
  </si>
  <si>
    <t>Agrícola-Empresaria</t>
  </si>
  <si>
    <t>Académica Málaga</t>
  </si>
  <si>
    <t>Marruecos-Tanger</t>
  </si>
  <si>
    <t>Salud-Médica</t>
  </si>
  <si>
    <t>Primera médica (1934) nacida en Almería. Muy activa en Tánger</t>
  </si>
  <si>
    <t>Minuta, La</t>
  </si>
  <si>
    <t>Trabajo- Agricultura desde 8 años</t>
  </si>
  <si>
    <t>Almería-Rioja</t>
  </si>
  <si>
    <t>Sindiccalismo Católico</t>
  </si>
  <si>
    <t>Política- Quinta-columnista</t>
  </si>
  <si>
    <t>Bordadora</t>
  </si>
  <si>
    <t>Represaliada por la República</t>
  </si>
  <si>
    <t>Sevilla-Carmona</t>
  </si>
  <si>
    <t>Represaliada-por los franquistas</t>
  </si>
  <si>
    <t>Granada-Albuñuelas</t>
  </si>
  <si>
    <t xml:space="preserve">Ciencias-Química 
</t>
  </si>
  <si>
    <t>Farmaceútica</t>
  </si>
  <si>
    <t>Zapatera, la</t>
  </si>
  <si>
    <t>Política-Fusilada</t>
  </si>
  <si>
    <t>Comercio-Zapatería</t>
  </si>
  <si>
    <t>Modelo de Federico García Lorca en “La zapatera prodigiosa"</t>
  </si>
  <si>
    <t>Represaliada-muerta por Guardia Civil 1919</t>
  </si>
  <si>
    <t>En las protesta por, entre otras, surge el lema "Viva Andalucía Libre"</t>
  </si>
  <si>
    <t>Fulmen, María</t>
  </si>
  <si>
    <t>Empresaria-Libreria</t>
  </si>
  <si>
    <t>Andalucía-Lejano occidente</t>
  </si>
  <si>
    <t>Mitos</t>
  </si>
  <si>
    <t>James</t>
  </si>
  <si>
    <t>Estados Unidos-Burlington</t>
  </si>
  <si>
    <t>Estados Unidos-Canbridge</t>
  </si>
  <si>
    <t>Arte-Fotógrafa</t>
  </si>
  <si>
    <t>Historiadora</t>
  </si>
  <si>
    <t>Serie fotografías de Almería 1910</t>
  </si>
  <si>
    <t>Carmela</t>
  </si>
  <si>
    <t>Noruega-Oslo</t>
  </si>
  <si>
    <t>Málaga. Almería</t>
  </si>
  <si>
    <t>Periosdista-Prensa</t>
  </si>
  <si>
    <t>Internacionalista</t>
  </si>
  <si>
    <t>Inglaterra-Eastbourne</t>
  </si>
  <si>
    <t xml:space="preserve">CCSociales-Economía, Historia </t>
  </si>
  <si>
    <t>Filantropa-Sanidad</t>
  </si>
  <si>
    <t>Ayuda huida republicanos Guerra civil</t>
  </si>
  <si>
    <t>Benefactora</t>
  </si>
  <si>
    <t>Única mujer con calle y plaza en Málaga.</t>
  </si>
  <si>
    <t>Mariquilla</t>
  </si>
  <si>
    <t>Granada-Sacromonte</t>
  </si>
  <si>
    <t>Guardiola Domínguez, María Luisa</t>
  </si>
  <si>
    <t>Asociación-niños con cancer</t>
  </si>
  <si>
    <t>Escritora-Poesía, infantil</t>
  </si>
  <si>
    <t>Académica-Jerez de la Frontera (Cádiz)</t>
  </si>
  <si>
    <t>Tomasa La Macanita</t>
  </si>
  <si>
    <t>Militar-Guerrilla antifranquista</t>
  </si>
  <si>
    <t>Arte-Cerámica</t>
  </si>
  <si>
    <t>Enseñanza-Escuela de Artes</t>
  </si>
  <si>
    <t>Enseñanza_Almuna adultas</t>
  </si>
  <si>
    <t>Discapacidad</t>
  </si>
  <si>
    <t>Movimiento Obrero-UGT</t>
  </si>
  <si>
    <t>Lagos, Concha</t>
  </si>
  <si>
    <t>Escritrora-Poesía</t>
  </si>
  <si>
    <t>Animadora-cultura</t>
  </si>
  <si>
    <t>Editora</t>
  </si>
  <si>
    <t>Tangerina, La</t>
  </si>
  <si>
    <t>Huelva-La Palma del Condado</t>
  </si>
  <si>
    <t>Enseñanza-Catedrática Honoraria</t>
  </si>
  <si>
    <t>Primera Mujer de la Real Academía de la lengua</t>
  </si>
  <si>
    <t>Lisboa</t>
  </si>
  <si>
    <t>Política-Regente Portugal</t>
  </si>
  <si>
    <t>Ceuta</t>
  </si>
  <si>
    <t>Costumbres-Habla</t>
  </si>
  <si>
    <t>Diferencias por sexo en el Atlas lingüístico y etnográfico de Andalucía (ALEA)</t>
  </si>
  <si>
    <t>Hafsa bint al-Hayy al-Raquni</t>
  </si>
  <si>
    <t>Marruecos-Marrakech</t>
  </si>
  <si>
    <t>Al-andalus. La  poetisa andalusí de la que se conservan más poemas</t>
  </si>
  <si>
    <t>Hamduna</t>
  </si>
  <si>
    <t>Granada-Guadix</t>
  </si>
  <si>
    <t>Al-andalus</t>
  </si>
  <si>
    <t>Harito, La</t>
  </si>
  <si>
    <t>Cádiz? Almería?</t>
  </si>
  <si>
    <t>Almería-La Chanca?</t>
  </si>
  <si>
    <t>Artista-Actriz teatro</t>
  </si>
  <si>
    <t>Cantante-Zarzuela, cuplé</t>
  </si>
  <si>
    <t>Discrepancias lugar de nacimiento</t>
  </si>
  <si>
    <t>Hassana at-Taminiyya</t>
  </si>
  <si>
    <t>Granada-Elvira</t>
  </si>
  <si>
    <t>Al-andalus. La primer  poetisa andalusí de la que se tiene noticia</t>
  </si>
  <si>
    <t>Jaén-Arjona</t>
  </si>
  <si>
    <t>Córdoba, Italia-Roma</t>
  </si>
  <si>
    <t>CCSociales-Filosofía</t>
  </si>
  <si>
    <t>Bética. Madre de Séneca</t>
  </si>
  <si>
    <t>Herbil de Silva, Eloísa D</t>
  </si>
  <si>
    <t>Arentina-Buenos Aires</t>
  </si>
  <si>
    <t>Artista-Musica-compositora</t>
  </si>
  <si>
    <t>Artista-Pianista</t>
  </si>
  <si>
    <t>Pienera del tango.</t>
  </si>
  <si>
    <t>Música-Tango</t>
  </si>
  <si>
    <t>Rompe con la marginación del Tango</t>
  </si>
  <si>
    <t>Enseñanza-Varios</t>
  </si>
  <si>
    <t>Archivos y Bibliotecas</t>
  </si>
  <si>
    <t>Maestra de la Archivística andaluza</t>
  </si>
  <si>
    <t xml:space="preserve">Casa Loring, Marquesa de </t>
  </si>
  <si>
    <t xml:space="preserve">Málaga </t>
  </si>
  <si>
    <t xml:space="preserve">Activista-Patrimonio </t>
  </si>
  <si>
    <t>Almería-Sorba</t>
  </si>
  <si>
    <t>Patrimonio</t>
  </si>
  <si>
    <t>Molinos del río Aguas</t>
  </si>
  <si>
    <t>Santoña, Duquesa de</t>
  </si>
  <si>
    <t>Granada-Motril</t>
  </si>
  <si>
    <t>Empresaria-Destileria</t>
  </si>
  <si>
    <t>Activista-Filantropa</t>
  </si>
  <si>
    <t>Azurcar y Alcoholera</t>
  </si>
  <si>
    <t>Huelva-Palos de Moger</t>
  </si>
  <si>
    <t>Medalla de Andalucía Gerente de la Comunidad de Herederos Zenobia-Juan
Ramón Jiménez</t>
  </si>
  <si>
    <t>Barcelona-Tarrasa</t>
  </si>
  <si>
    <t>Trabajo- Jornalera agricolas</t>
  </si>
  <si>
    <t>Religión-Personal</t>
  </si>
  <si>
    <t>Hogar-Hija,hermana</t>
  </si>
  <si>
    <t>Represaliada- Inquisició por fornicación</t>
  </si>
  <si>
    <t xml:space="preserve">Penitenciada 1571
</t>
  </si>
  <si>
    <t xml:space="preserve">Guadalajara-El Pedregal </t>
  </si>
  <si>
    <t>Málaga-Campillos</t>
  </si>
  <si>
    <t>Enseñanza-Instituto</t>
  </si>
  <si>
    <t>Málaga-Alhaurin de la Torre</t>
  </si>
  <si>
    <t>Deporte-Judo paralímpico</t>
  </si>
  <si>
    <t>Política-Francia</t>
  </si>
  <si>
    <t xml:space="preserve">Derecho-Inspección de Trabajo </t>
  </si>
  <si>
    <t xml:space="preserve">Medalla de Andalucía </t>
  </si>
  <si>
    <t>Masonería-Lógia Femenina</t>
  </si>
  <si>
    <t>Huelva-Valverde del Camino</t>
  </si>
  <si>
    <t>Andalucía-varias</t>
  </si>
  <si>
    <t>Enseñanza-Formación Profesional</t>
  </si>
  <si>
    <t>Enseñanza</t>
  </si>
  <si>
    <t>Asesinada, estando embarzada, por los franquistas. ¿Por su Religión Protestante?</t>
  </si>
  <si>
    <t>Hore Ley, María Gertrudis</t>
  </si>
  <si>
    <t>Cecilia Böhl de Faber se inspira para «La Hija del Sol»</t>
  </si>
  <si>
    <t>Deutsch, Kati</t>
  </si>
  <si>
    <t>Hungría-Budapest</t>
  </si>
  <si>
    <t>México</t>
  </si>
  <si>
    <t>Almería-Veléz-Rubio</t>
  </si>
  <si>
    <t>Fotógrafa</t>
  </si>
  <si>
    <t>Intenacionalista-Anarquista</t>
  </si>
  <si>
    <t>Reportaje casa Maternidad Veléz-Rubio</t>
  </si>
  <si>
    <t>Hospital de Nuestra Señora del Carmen</t>
  </si>
  <si>
    <t>Etapas últimas no era solo de mujeres</t>
  </si>
  <si>
    <t>Salud-Hospitales</t>
  </si>
  <si>
    <t>Madrid-Ciempozuelos</t>
  </si>
  <si>
    <t>Salud-Enfermedades Psiquicas</t>
  </si>
  <si>
    <t>Por haber utilizado para hacer unos vestidos sin fin lucrativo manto de la virgen</t>
  </si>
  <si>
    <t>Empresaria-Comercio exterior</t>
  </si>
  <si>
    <t>Jaen</t>
  </si>
  <si>
    <t>Himilce</t>
  </si>
  <si>
    <t>Jaén-Linares(Cástulo)</t>
  </si>
  <si>
    <t>Túnez (Cartago)</t>
  </si>
  <si>
    <t>Política-Cartago</t>
  </si>
  <si>
    <t>Mujer de Anibal</t>
  </si>
  <si>
    <t>Marruecos</t>
  </si>
  <si>
    <t>Agricultura-Manipulado</t>
  </si>
  <si>
    <t>Tesis doctoral defendida en 2011</t>
  </si>
  <si>
    <t>Trabajadoras de la Fresa</t>
  </si>
  <si>
    <t>Polonía, Rumanía, Marruecos</t>
  </si>
  <si>
    <t>Trabajo- Jornaleras Agricolas</t>
  </si>
  <si>
    <t>Inmigrantes</t>
  </si>
  <si>
    <t>La mayoría Moriscas</t>
  </si>
  <si>
    <t>Isabel "La Católica"</t>
  </si>
  <si>
    <t>Ávila-Madrigal de las Altas Torres</t>
  </si>
  <si>
    <t>Valladolid-Medina del Campo</t>
  </si>
  <si>
    <t>Granada, Málaga, Almería  ...</t>
  </si>
  <si>
    <t>Invade reino Nazarí</t>
  </si>
  <si>
    <t>Marruecos¿?</t>
  </si>
  <si>
    <t>Política-Reina de Taifa</t>
  </si>
  <si>
    <t>Al-Andalus  Esposa de Al-Mutamid</t>
  </si>
  <si>
    <t>Guipúzcoa-Azpeitia</t>
  </si>
  <si>
    <t>Sevilla-Ginés</t>
  </si>
  <si>
    <t>Sevilla-San Juan de Aznalfarache</t>
  </si>
  <si>
    <t>Huelva-Palos de la Frontera</t>
  </si>
  <si>
    <t>Asturias-Oviedo</t>
  </si>
  <si>
    <t>Enseñanza-Universidad Literatura</t>
  </si>
  <si>
    <t>Madre</t>
  </si>
  <si>
    <t>al-Andalus-Taifa de Almería. HIjo con al-Mutasim</t>
  </si>
  <si>
    <t>Niña de la Puebla</t>
  </si>
  <si>
    <t>Sevilla-La Puebla de Cazalla</t>
  </si>
  <si>
    <t>La Cantaora ciega</t>
  </si>
  <si>
    <t>GuineaEcuatorial-Kobo</t>
  </si>
  <si>
    <t>Religión-Misionera</t>
  </si>
  <si>
    <t>Bernarda de Utrera</t>
  </si>
  <si>
    <t>Fernanda de Utrera</t>
  </si>
  <si>
    <t>Jaén-Izanatoraf</t>
  </si>
  <si>
    <t>Represalida-Inquisición</t>
  </si>
  <si>
    <t>Hechicería</t>
  </si>
  <si>
    <t>Fecha 1. La del proceso inquisitorial</t>
  </si>
  <si>
    <t>Almería-Pescadería</t>
  </si>
  <si>
    <t xml:space="preserve">Trabajo-Pescadora y Redera </t>
  </si>
  <si>
    <t>Tendera-Estraperlista</t>
  </si>
  <si>
    <t>Málaga-Vélez-Málaga</t>
  </si>
  <si>
    <t>Escritora-Ensayo y traducción</t>
  </si>
  <si>
    <t>Cádiz-Tarifa-Baelo Claudia</t>
  </si>
  <si>
    <t>Potentada Romana</t>
  </si>
  <si>
    <t>Rocío Jurado</t>
  </si>
  <si>
    <t>Cádiz-Chipiona</t>
  </si>
  <si>
    <t>Madrid-Alcobendas</t>
  </si>
  <si>
    <t>Vendió, en vida, 16 Millones de disco Medalla de Andalucía</t>
  </si>
  <si>
    <t>Justa y Rufina</t>
  </si>
  <si>
    <t>Religión-Santa</t>
  </si>
  <si>
    <t>Represaliada-Martir Voluntaria</t>
  </si>
  <si>
    <t>Alfarera</t>
  </si>
  <si>
    <t>Co-Patrona de Sevilla</t>
  </si>
  <si>
    <t>Nueva York</t>
  </si>
  <si>
    <t>Derecho-Penitenciario</t>
  </si>
  <si>
    <t>Política-PSR, IR</t>
  </si>
  <si>
    <t>Directora General de Prisiones</t>
  </si>
  <si>
    <t>Japón-Tokio</t>
  </si>
  <si>
    <t>Insigne difusora del Flamenco en el mundo</t>
  </si>
  <si>
    <t>Barcelona-Gracia</t>
  </si>
  <si>
    <t>Política-Obrerismo</t>
  </si>
  <si>
    <t>Entre las fundadoras las sevillanas Amalia Domingo Soler y Ángeles López de Ayala</t>
  </si>
  <si>
    <t>Ideología-Libre pensamiento</t>
  </si>
  <si>
    <t>Arte-Crítica</t>
  </si>
  <si>
    <t>Escritora-Ensayo</t>
  </si>
  <si>
    <t>Arte-Pintura, escultura</t>
  </si>
  <si>
    <t>Medalla de Andalucía. Hija Predilecta de Andalucía.</t>
  </si>
  <si>
    <t>Lamadrid, Bárbara</t>
  </si>
  <si>
    <t>Landa Vaz, Matilde</t>
  </si>
  <si>
    <t>Badajoz</t>
  </si>
  <si>
    <t xml:space="preserve">Palma de Mallorca </t>
  </si>
  <si>
    <t>Málaga, Almería, Córdoba</t>
  </si>
  <si>
    <t>Política-Comunista</t>
  </si>
  <si>
    <t>Activista-Socorro Rojo Internacional</t>
  </si>
  <si>
    <t>Represaliada-franquismo</t>
  </si>
  <si>
    <t>Ayuda evacuación Málaga en la Guerra Civil</t>
  </si>
  <si>
    <t>Industria-Molinera</t>
  </si>
  <si>
    <t>Pulga, La</t>
  </si>
  <si>
    <t>"Aventuras de la época", En Abrucena, Mujeres de</t>
  </si>
  <si>
    <t>Maria Pepa Lara Garcia</t>
  </si>
  <si>
    <t>Academíca Málaga</t>
  </si>
  <si>
    <t>Granada-Los Montes-Zújar</t>
  </si>
  <si>
    <t>Lavanderas</t>
  </si>
  <si>
    <t>Escritora-Poesía, Narrativa</t>
  </si>
  <si>
    <t>Martínez de la Sierra, Gregorio Martínez Sierra, Maria</t>
  </si>
  <si>
    <t>La Rioja-San Millán de la Cogoll</t>
  </si>
  <si>
    <t>Represaliada-Exilio</t>
  </si>
  <si>
    <t>Firmaba con el nombre de su marido, que le expolió la fama y ... Presidenta de la UME (Unión de Mujeres de España)</t>
  </si>
  <si>
    <t>Sevilla, Córdoba</t>
  </si>
  <si>
    <t xml:space="preserve">CCSociales-Historia </t>
  </si>
  <si>
    <t>Enseñanza-Universidad Arqueología</t>
  </si>
  <si>
    <t>Especialista Mundo clásico Académica-Sevilla</t>
  </si>
  <si>
    <t>Méritos, Marquesa de</t>
  </si>
  <si>
    <t>Arte-Protección Patrimonio</t>
  </si>
  <si>
    <t>Presidenta  R. Academia Bellas Artes Sta- Isabel de Hungría</t>
  </si>
  <si>
    <t>Enseñanza-Profesora Liceo</t>
  </si>
  <si>
    <t>Oposición a la injusticia en su obras</t>
  </si>
  <si>
    <t>Toledo-Talavera de la Reina</t>
  </si>
  <si>
    <t>Política-Castilla</t>
  </si>
  <si>
    <t>Origen de la dinastia (bastarda) de los Trastamaras</t>
  </si>
  <si>
    <t>Feminismo andalucista</t>
  </si>
  <si>
    <t>Impulsada por Carmen de Burgos (Colombine)</t>
  </si>
  <si>
    <t>Granada-Pulianas</t>
  </si>
  <si>
    <t>Ciencias-Paleontología</t>
  </si>
  <si>
    <t>Académica-Granada Segunda mujer catedrática en la Universidad (tras guerra civil)</t>
  </si>
  <si>
    <t>Eneñanza-Universidad Psicología</t>
  </si>
  <si>
    <t>Medalla de Andalucía Atención Temprana</t>
  </si>
  <si>
    <t>Medalla de Andalucía Creadora de Manolito Gafotas</t>
  </si>
  <si>
    <t>Amiga de Falla y García Lorca</t>
  </si>
  <si>
    <t>Llovet Muñoz,  María del Carmen</t>
  </si>
  <si>
    <t>Hierbabuena, María la</t>
  </si>
  <si>
    <t>Carnaval</t>
  </si>
  <si>
    <t>Creadora del lema del Carnaval de Cádiz</t>
  </si>
  <si>
    <t>Cádiz-Jérez de la Frontera</t>
  </si>
  <si>
    <t>Primera fotografa profesional en España</t>
  </si>
  <si>
    <t>Chari López</t>
  </si>
  <si>
    <t>Almeria</t>
  </si>
  <si>
    <t>Escritora-Poesía y más</t>
  </si>
  <si>
    <t>Una de las rebeldes imprescindibles del XIX</t>
  </si>
  <si>
    <t>Zaragoza-Calatayud</t>
  </si>
  <si>
    <t>En la Corte- Camarera mayor</t>
  </si>
  <si>
    <t>Quizas primera autobiografía en Castilla</t>
  </si>
  <si>
    <t>Activista-Tertulia liberal</t>
  </si>
  <si>
    <t>Escritora-Polemista</t>
  </si>
  <si>
    <t>Política-Servil</t>
  </si>
  <si>
    <t>Sevillla-San Juán de Aznalfarache</t>
  </si>
  <si>
    <t>Escritora-Poesía, ensayo</t>
  </si>
  <si>
    <t>Lola López Enamorado</t>
  </si>
  <si>
    <t>Granada, Sevilla</t>
  </si>
  <si>
    <t>CCSociales-Arabismo.:.</t>
  </si>
  <si>
    <t xml:space="preserve"> Literatura, mundo árabe y mujer</t>
  </si>
  <si>
    <t>Directora del Insituto Cervantes en Marruecos</t>
  </si>
  <si>
    <t>Modista</t>
  </si>
  <si>
    <t>Pol´tica-JSU</t>
  </si>
  <si>
    <t>Represaliada-Asesinada por el Franquismo</t>
  </si>
  <si>
    <t>Una de "Las trece Rosas"</t>
  </si>
  <si>
    <t xml:space="preserve">Pina López Gay </t>
  </si>
  <si>
    <t>Política-Joven Guardía Roja</t>
  </si>
  <si>
    <t>Fue Secretaria General del la JGR</t>
  </si>
  <si>
    <t xml:space="preserve">Chiquita piconera, La </t>
  </si>
  <si>
    <t>Córdoba-Palma del Río</t>
  </si>
  <si>
    <t>Arte-Modelo</t>
  </si>
  <si>
    <t>Trabajo-Cose</t>
  </si>
  <si>
    <t>Imagen de Julio Romero de Torres Billete de 100 pesetas</t>
  </si>
  <si>
    <t>Argentinita, La</t>
  </si>
  <si>
    <t xml:space="preserve">Argentina-Buenos Aires </t>
  </si>
  <si>
    <t>Ciencias-Nutrición</t>
  </si>
  <si>
    <t>Andalucía, Barcelona</t>
  </si>
  <si>
    <t>Activista-Social y Cultural</t>
  </si>
  <si>
    <t>Asociación Almenara</t>
  </si>
  <si>
    <t>Enseñanza-Secundaria</t>
  </si>
  <si>
    <t>Lola</t>
  </si>
  <si>
    <t>Almería-Sierro</t>
  </si>
  <si>
    <t>Militar-ETA</t>
  </si>
  <si>
    <t>Trabajadora-Textil</t>
  </si>
  <si>
    <t>Málaga-Mollina</t>
  </si>
  <si>
    <t>Enseñanzas-Enseñanza del dibujo</t>
  </si>
  <si>
    <t>Libro muy valorado sobre la enseñanza del dibujo</t>
  </si>
  <si>
    <t>Pelada, La</t>
  </si>
  <si>
    <t>Militar-Apoyo moral Guerra de la Independencia</t>
  </si>
  <si>
    <t>beata ciega, La</t>
  </si>
  <si>
    <t>Religión-Visiones</t>
  </si>
  <si>
    <t>Última persona quemada por la Inquisición en Sevilla</t>
  </si>
  <si>
    <t>Granada-Fuente Vaqueros</t>
  </si>
  <si>
    <t>Madre de Federico García Lorca</t>
  </si>
  <si>
    <t>Política-Dictadura de Primo</t>
  </si>
  <si>
    <t>De las primeras que ocupo escaño en el Congreso</t>
  </si>
  <si>
    <t>Literatura-Poesia, caligrafía</t>
  </si>
  <si>
    <t>Esclava-Secretaria califal</t>
  </si>
  <si>
    <t>Al-Andalus Con Alhakem II</t>
  </si>
  <si>
    <t>Derecho-Pleitos con marido</t>
  </si>
  <si>
    <t>Represaliada-Por milicianos</t>
  </si>
  <si>
    <t>Pionera Farmacéutica</t>
  </si>
  <si>
    <t>Túnez-Túnez (Cartago)</t>
  </si>
  <si>
    <t>Religión-Donatista</t>
  </si>
  <si>
    <t>Financia el movimiento donatista 312</t>
  </si>
  <si>
    <t>Zamora-Móveda de Toro</t>
  </si>
  <si>
    <t>Enseñanza-Directora Normal</t>
  </si>
  <si>
    <t xml:space="preserve">Sevilla-La Roda de Andalucía </t>
  </si>
  <si>
    <t>Sevilla-Pedrera</t>
  </si>
  <si>
    <t>Activista-Asociacionismo mujeres</t>
  </si>
  <si>
    <t>Trabajadora-Textil, limpieza, ...</t>
  </si>
  <si>
    <t>Louise Michel anduza, La</t>
  </si>
  <si>
    <t>Cádiz-Benaocaz</t>
  </si>
  <si>
    <t>Acusada en el proceso de La Mano Negra</t>
  </si>
  <si>
    <t>Sevilla-Fuentes de Andalucía</t>
  </si>
  <si>
    <t>Militar-Artillera Guerra Independencia</t>
  </si>
  <si>
    <t>Enseñanza-Griego</t>
  </si>
  <si>
    <t>Religión-Reforma</t>
  </si>
  <si>
    <t>Volumnia Cytheris</t>
  </si>
  <si>
    <t>Grecia?</t>
  </si>
  <si>
    <t>Prostituta</t>
  </si>
  <si>
    <t xml:space="preserve"> Amante de Marco Antonio y Gallo. Alabada por poetas y criticada por Cicerón</t>
  </si>
  <si>
    <t>Andalucia y otras</t>
  </si>
  <si>
    <t>Andalucía y otras</t>
  </si>
  <si>
    <t>Enseñanzas-Maestras</t>
  </si>
  <si>
    <t>Represaliadas-Por el franquismo</t>
  </si>
  <si>
    <t>García Cordoba, E..Encarnita</t>
  </si>
  <si>
    <t>Almería-Tabernas</t>
  </si>
  <si>
    <t>Movimiento obrero-Anarquista</t>
  </si>
  <si>
    <t>Feminista-Mujeres Libres</t>
  </si>
  <si>
    <t>Represaliad por el franquismo</t>
  </si>
  <si>
    <t>Fusilada por el asunto de "El Cable Inglés"</t>
  </si>
  <si>
    <t>460 calles, avenidas y plazas, además de referencia a edificios, estaturas</t>
  </si>
  <si>
    <t>Salamanca?</t>
  </si>
  <si>
    <t>Empresa-Imprenta</t>
  </si>
  <si>
    <t>Con imprenta, también , en América</t>
  </si>
  <si>
    <t>Almería ?</t>
  </si>
  <si>
    <t>Pirata</t>
  </si>
  <si>
    <t>al-Andalus</t>
  </si>
  <si>
    <t>Deportes-Piraguas</t>
  </si>
  <si>
    <t>Medalla de Andalcuía</t>
  </si>
  <si>
    <t>Académica-Cádiz</t>
  </si>
  <si>
    <t>Activista-Filantropía</t>
  </si>
  <si>
    <t>Madrid-Aranjuez</t>
  </si>
  <si>
    <t>Escritora-Autora y traductora</t>
  </si>
  <si>
    <t>Enseñanza-Universidad Inglés</t>
  </si>
  <si>
    <t>México, D. F</t>
  </si>
  <si>
    <t>Política-Izquierda</t>
  </si>
  <si>
    <t>Ciencias-Farmacología</t>
  </si>
  <si>
    <t>Cádiz-Jerez de la Frontera?</t>
  </si>
  <si>
    <t>María de Estrada (Destrada)</t>
  </si>
  <si>
    <t>Destrada,  María</t>
  </si>
  <si>
    <t>Sevilla¿?</t>
  </si>
  <si>
    <t>México-Puebla de Zaragoza</t>
  </si>
  <si>
    <t>Militar</t>
  </si>
  <si>
    <t>Conquista de México</t>
  </si>
  <si>
    <t>Elaboró primera carta aqueológica de Cádiz</t>
  </si>
  <si>
    <t>Virgen María</t>
  </si>
  <si>
    <t>Palestina?</t>
  </si>
  <si>
    <t>- 25</t>
  </si>
  <si>
    <t>Religión-Madre de Cristo</t>
  </si>
  <si>
    <t>Venerada bajo diversas apariencias</t>
  </si>
  <si>
    <t>Málaga-Bobadilla</t>
  </si>
  <si>
    <t>Escritora-Infantil</t>
  </si>
  <si>
    <t>Periodista-pionera</t>
  </si>
  <si>
    <t>Política-Republicana</t>
  </si>
  <si>
    <t>Deportes-Bádminton</t>
  </si>
  <si>
    <t>Jaén-Marmolejo</t>
  </si>
  <si>
    <t>Sufragismo</t>
  </si>
  <si>
    <t>El 26 de Marzo del 33 votan para elegir Juez de Paz</t>
  </si>
  <si>
    <t>Ciencias-Microbiología</t>
  </si>
  <si>
    <t>Académica-Granada Primera prsidenta academía de mediciana</t>
  </si>
  <si>
    <t>Escritora-Periodista, Novelista</t>
  </si>
  <si>
    <t>Zamora</t>
  </si>
  <si>
    <t>Enseñanza-Secunciara</t>
  </si>
  <si>
    <t>Académica-Cádiz Historia, etnografía, Biología</t>
  </si>
  <si>
    <t>Artista-Diseño de Moda</t>
  </si>
  <si>
    <t>Medalla de Andalucía 2020</t>
  </si>
  <si>
    <t>Huelva-Jabugo</t>
  </si>
  <si>
    <t>Enseñanza-Pedagoga y profesora</t>
  </si>
  <si>
    <t>Medalla de Andalucía 2015. Pionera en integración</t>
  </si>
  <si>
    <t>Huelva-Lepe</t>
  </si>
  <si>
    <t>Zaragoza</t>
  </si>
  <si>
    <t>Arte-Escultora</t>
  </si>
  <si>
    <t>CCSocliales-Prehistsoria</t>
  </si>
  <si>
    <t>Malibrán negra</t>
  </si>
  <si>
    <t>Cuba-La Habana</t>
  </si>
  <si>
    <t>Artista- Cación Lírica</t>
  </si>
  <si>
    <t>Canción Andaluza y Cubana</t>
  </si>
  <si>
    <t>Destaca en París y Londres. "Sorprende por ser negra"</t>
  </si>
  <si>
    <t>India Martínez</t>
  </si>
  <si>
    <t>CCSociales-Sociología</t>
  </si>
  <si>
    <t>Temas sociales y de género</t>
  </si>
  <si>
    <t>Almería-Vélez Blanco</t>
  </si>
  <si>
    <t>Poltítica-PSOE</t>
  </si>
  <si>
    <t>Historia antigua y de las Mujeres</t>
  </si>
  <si>
    <t>Almería-Serón</t>
  </si>
  <si>
    <t>Cantabaria-Santander</t>
  </si>
  <si>
    <t>Política-PP</t>
  </si>
  <si>
    <t>Alcaldesa de Cádiz</t>
  </si>
  <si>
    <t>Saludd-Partera</t>
  </si>
  <si>
    <t>Trabajo-Agricola</t>
  </si>
  <si>
    <t>Hogar-Hermana</t>
  </si>
  <si>
    <t>Cádiz y varias</t>
  </si>
  <si>
    <t>Celmira</t>
  </si>
  <si>
    <t>Madrid-Alcalá de Henares</t>
  </si>
  <si>
    <t>Literatura- Poesís, Novela.</t>
  </si>
  <si>
    <t>Escritora-Poesía, Crítica literaria</t>
  </si>
  <si>
    <t>Medina, Rocio</t>
  </si>
  <si>
    <t>Empresaria-agro-industrial</t>
  </si>
  <si>
    <t xml:space="preserve"> Medalla Andalucía 2022</t>
  </si>
  <si>
    <t>Arte-Tapices, reposteros</t>
  </si>
  <si>
    <t>Paquera de Jerez</t>
  </si>
  <si>
    <t>cádiz-Jerez de la Frontera</t>
  </si>
  <si>
    <t xml:space="preserve">Religión-Fundadora </t>
  </si>
  <si>
    <t>Esclavas del Divino Corazón</t>
  </si>
  <si>
    <t>México-Ciudad de México</t>
  </si>
  <si>
    <t>Religión-Judia</t>
  </si>
  <si>
    <t>Represalidas-Inquisición</t>
  </si>
  <si>
    <t>Ciencias-Bioquimica, reproducción</t>
  </si>
  <si>
    <t xml:space="preserve">Escritora </t>
  </si>
  <si>
    <t>Religión-beata</t>
  </si>
  <si>
    <t xml:space="preserve">Córdoba </t>
  </si>
  <si>
    <t>Santo Domingo</t>
  </si>
  <si>
    <t>De las primeras poetisas del nuevo mundo</t>
  </si>
  <si>
    <t>Argentina, La</t>
  </si>
  <si>
    <t>Francia-Bayona</t>
  </si>
  <si>
    <t>Jaén-Beas del Segura, Sabiote</t>
  </si>
  <si>
    <t>Activista-Asociacionismo</t>
  </si>
  <si>
    <t>Edición de la obras completas de Góngora.</t>
  </si>
  <si>
    <t>Alicante-Novelda</t>
  </si>
  <si>
    <t>Torera</t>
  </si>
  <si>
    <t>Modotti, Assunta Adelaide Luigia</t>
  </si>
  <si>
    <t>Italia-Udine</t>
  </si>
  <si>
    <t>Málaga, Almería</t>
  </si>
  <si>
    <t>Sevilla-Barrio de Santa Cruz</t>
  </si>
  <si>
    <t>Córdoba-Peñarroya-Pueblonuevo</t>
  </si>
  <si>
    <t>Deportes-Guimnasta</t>
  </si>
  <si>
    <t>Medala de Andalucía</t>
  </si>
  <si>
    <t>Religión-Cofradía, presidenta</t>
  </si>
  <si>
    <t>Primera mujer presidenta de la Agrupación de Cofradías de Almería</t>
  </si>
  <si>
    <t>Industria-Panadera</t>
  </si>
  <si>
    <t>Represaliada-Por amor</t>
  </si>
  <si>
    <t>Arte-Cine y TV, realizadora</t>
  </si>
  <si>
    <t>Medalla de Andalucía, Hija predilecta de Andalucía</t>
  </si>
  <si>
    <t>Moll de Miguel, María Mercedes</t>
  </si>
  <si>
    <t>Empresaria-Estanquera-lotera</t>
  </si>
  <si>
    <t>Política-UCD</t>
  </si>
  <si>
    <t>Los Vélez, VIII Marquesa de</t>
  </si>
  <si>
    <t>Mejorana, La</t>
  </si>
  <si>
    <t>Renovó el baile de la mujer</t>
  </si>
  <si>
    <t>Granada-Iznalloz</t>
  </si>
  <si>
    <t>Derecho-Consejo General del Poder Judicial</t>
  </si>
  <si>
    <t>Feminismo-Contra Violencia domética</t>
  </si>
  <si>
    <t>Sevilla-Valencina de la Concepción_Castilleja de Guzmán</t>
  </si>
  <si>
    <t>Religión-Chamanes¿?</t>
  </si>
  <si>
    <t>En túmulo 22 mujeres ricamente ataviadas. Misterio</t>
  </si>
  <si>
    <t>Montenegro, María Antonia</t>
  </si>
  <si>
    <t>Arte-Directora compañia lírica</t>
  </si>
  <si>
    <t>Empresaria.</t>
  </si>
  <si>
    <t>Lole  y Manuel</t>
  </si>
  <si>
    <t>Córdoba-Rute</t>
  </si>
  <si>
    <t>Activista-memoria hijo asesinado</t>
  </si>
  <si>
    <t>Por Guardia Civiles en 1981 (caso almería)</t>
  </si>
  <si>
    <t>Granada-Loja</t>
  </si>
  <si>
    <t>Almería-Laujar de Andarax</t>
  </si>
  <si>
    <t>Política-Consorte de Boabdil</t>
  </si>
  <si>
    <t>Málaga-Mijas</t>
  </si>
  <si>
    <t>Activista-Contra la represión fraquista</t>
  </si>
  <si>
    <t>Salvadora de Manuel Cortés, el topo de Mijas al que esconde, y mantiene durante 30 años</t>
  </si>
  <si>
    <t>Jaén-Baeza</t>
  </si>
  <si>
    <t>Escritora-Periódicos</t>
  </si>
  <si>
    <t>Cádiz-El Puerto de Sta. María</t>
  </si>
  <si>
    <t>Lolita Sevilla</t>
  </si>
  <si>
    <t>Artista-Actriz de cine, baile, cante</t>
  </si>
  <si>
    <t>Girona-Olot</t>
  </si>
  <si>
    <t>Arte-Fotografía</t>
  </si>
  <si>
    <t>Pionera de la Fotografía Malagueña</t>
  </si>
  <si>
    <t>Andalucía - varias</t>
  </si>
  <si>
    <t>Feminismo-Anarquismo</t>
  </si>
  <si>
    <t>Movimiento Obrero-CNT</t>
  </si>
  <si>
    <t>Textos sobre Andalucía en Mujeres Libres</t>
  </si>
  <si>
    <t>Grecas,  Tina de Las</t>
  </si>
  <si>
    <t>Aranjuez</t>
  </si>
  <si>
    <t>Flamenco-Rock</t>
  </si>
  <si>
    <t>Grecas, La</t>
  </si>
  <si>
    <t>Muñoz de Miguel Villanueva, Ernestina</t>
  </si>
  <si>
    <t>Científica-Química</t>
  </si>
  <si>
    <t>Profesora Universidad</t>
  </si>
  <si>
    <t>Ciencias-Química Inorgánica</t>
  </si>
  <si>
    <t>CCsociales-Mujer y Ciencia</t>
  </si>
  <si>
    <t>Sevilla-Pruna</t>
  </si>
  <si>
    <t>Córdoba-Fernán Nuñez</t>
  </si>
  <si>
    <t>Enseñanza-Logopeda</t>
  </si>
  <si>
    <t>María, la portuguesa</t>
  </si>
  <si>
    <t>Huelva-Ayamonte</t>
  </si>
  <si>
    <t>Portugal-Manta Rota</t>
  </si>
  <si>
    <t>Contrabandissta</t>
  </si>
  <si>
    <t>Protagonista de la famosa canción de Carlos Cano</t>
  </si>
  <si>
    <t>Muzayna</t>
  </si>
  <si>
    <t>Euskadi</t>
  </si>
  <si>
    <t>Política-Madre de Abderraman III</t>
  </si>
  <si>
    <t xml:space="preserve">Periodista-Directora Semanario
</t>
  </si>
  <si>
    <t>La Voz de la República. Granada</t>
  </si>
  <si>
    <t>Ciencias-Bioquímica y Biología Molecular</t>
  </si>
  <si>
    <t>Trini, La</t>
  </si>
  <si>
    <t>Santa Cruz de Tenerife</t>
  </si>
  <si>
    <t>Jaén-Andujar</t>
  </si>
  <si>
    <t>Politica-PSOE</t>
  </si>
  <si>
    <t>Enseñanza-Puericultora</t>
  </si>
  <si>
    <t>Enseñanzas- Profesora</t>
  </si>
  <si>
    <t>Prensa. Movimiento Obrero- Fete-UGT</t>
  </si>
  <si>
    <t>Carrera truncada por presiones familiares</t>
  </si>
  <si>
    <t>Granada-Ugijar</t>
  </si>
  <si>
    <t>Sanidad- Matrona, Practicante</t>
  </si>
  <si>
    <t>Huelva-Aracena</t>
  </si>
  <si>
    <t>Huelva-Jabuguillo</t>
  </si>
  <si>
    <t>Sevilla-Coria del Río</t>
  </si>
  <si>
    <t>Cruz de Alfonso X el Sabio</t>
  </si>
  <si>
    <t>Enseñanza-Oficina</t>
  </si>
  <si>
    <t>Almería-Vélez Rubio</t>
  </si>
  <si>
    <t>Artista-Cantante Lírica</t>
  </si>
  <si>
    <t>Nana Smith</t>
  </si>
  <si>
    <t>Jaén-Villa de Baños de la Encina</t>
  </si>
  <si>
    <t>Granada-Guadiz</t>
  </si>
  <si>
    <t>Nodrizas</t>
  </si>
  <si>
    <t>Comercio-Tendera</t>
  </si>
  <si>
    <t>Educación-Maestra</t>
  </si>
  <si>
    <t>Tanger</t>
  </si>
  <si>
    <t>Activista-Por Andalusies expulsados</t>
  </si>
  <si>
    <t>Al-Andalus, por los derechos de los moriscos</t>
  </si>
  <si>
    <t xml:space="preserve">Huesca-Alquezar </t>
  </si>
  <si>
    <t>Granada¿?</t>
  </si>
  <si>
    <t>Represalidas-Martir</t>
  </si>
  <si>
    <t>Movimientos Sociales</t>
  </si>
  <si>
    <t>Inmigrante-refugiada</t>
  </si>
  <si>
    <t>Solidadridad-Prostitucion</t>
  </si>
  <si>
    <t>Medalla Andalucia 2021</t>
  </si>
  <si>
    <t>Religión-Apostolado rural y suburbios</t>
  </si>
  <si>
    <t xml:space="preserve">Lina Odena </t>
  </si>
  <si>
    <t>Con mando de tropa en la Guerra Civil. En la direccion contra los sublevados 18 j Almería.</t>
  </si>
  <si>
    <t>María Rosa</t>
  </si>
  <si>
    <t>Granada-Cullar Vega</t>
  </si>
  <si>
    <t>Activista contra, y victima ,violencia machista</t>
  </si>
  <si>
    <t>Madre de ocho hijos</t>
  </si>
  <si>
    <t>Costurera-</t>
  </si>
  <si>
    <t>Denunció su situación en Tv. Pionera.</t>
  </si>
  <si>
    <t>Illes Balears?</t>
  </si>
  <si>
    <t>Edad Antigua-Historia</t>
  </si>
  <si>
    <t>Francia-Cannes</t>
  </si>
  <si>
    <t>Se­villa</t>
  </si>
  <si>
    <t>Activismo-Vida de socedad</t>
  </si>
  <si>
    <t>Académica-</t>
  </si>
  <si>
    <t>Ginesa Ortega</t>
  </si>
  <si>
    <t>Francia-Metz</t>
  </si>
  <si>
    <t>Barcelona-Cornellá de Llobregat</t>
  </si>
  <si>
    <t>Madrid, Valladolid?</t>
  </si>
  <si>
    <t>Salud-Médica Pediatra</t>
  </si>
  <si>
    <t>Académica-Almería</t>
  </si>
  <si>
    <t>Represaliada</t>
  </si>
  <si>
    <t>Quemada viva por conspirar contra Pedro I</t>
  </si>
  <si>
    <t>Enseñanza-Química</t>
  </si>
  <si>
    <t>Política-Concejala</t>
  </si>
  <si>
    <t>Primera licenciada en Químicas de España</t>
  </si>
  <si>
    <t>Política-Embajadora</t>
  </si>
  <si>
    <t>Escritrora</t>
  </si>
  <si>
    <t>Ante OIT, Suecia   Estupenda autobiografía. Exiliada. Amiga y Biografía de kollontai</t>
  </si>
  <si>
    <t>Linares, Carmen</t>
  </si>
  <si>
    <t>Jaén-Linares</t>
  </si>
  <si>
    <t>Medalla de Andalucía Grande del cante de entre-siglos</t>
  </si>
  <si>
    <t>Portugal-Oporto</t>
  </si>
  <si>
    <t>Toledo</t>
  </si>
  <si>
    <t>Política-Comunera</t>
  </si>
  <si>
    <t>Carlos V la persiguión por su lucha</t>
  </si>
  <si>
    <t xml:space="preserve">Hogar-Amante Pedro I </t>
  </si>
  <si>
    <t>¿Instiga la muerte de Blanca de Borbón?</t>
  </si>
  <si>
    <t>Medalla de Andalucía Reconocimiento internacional</t>
  </si>
  <si>
    <t>Eugenia de Montijo</t>
  </si>
  <si>
    <t>Política-Emperatriz de Francia</t>
  </si>
  <si>
    <t>Esposa de Napoleón III</t>
  </si>
  <si>
    <t>Villafranca, Marquesa de</t>
  </si>
  <si>
    <t>Activista-Guerra de la Independencia</t>
  </si>
  <si>
    <t>Fue pintora y también fue pintada, entre otros, por Goya</t>
  </si>
  <si>
    <t>Historia- Patrimonio</t>
  </si>
  <si>
    <t>Medalla de Andalucía 2018. Patrimonio Ibero</t>
  </si>
  <si>
    <t>Salamanca-Cantalpino</t>
  </si>
  <si>
    <t>Artista-Actriz Teatro, Zarzuela</t>
  </si>
  <si>
    <t xml:space="preserve"> Isabel Pantoja</t>
  </si>
  <si>
    <t>Artista- Cantante Copla</t>
  </si>
  <si>
    <t>Reina de la Copla entre siglos</t>
  </si>
  <si>
    <t>Sevilla-La Roda de Andalucía</t>
  </si>
  <si>
    <t>Movimiento Obrero- UGT</t>
  </si>
  <si>
    <t>Muerte especialment cruel.</t>
  </si>
  <si>
    <t>Crítica literaria</t>
  </si>
  <si>
    <t>Parrala, La</t>
  </si>
  <si>
    <t>Huelva-Moguer</t>
  </si>
  <si>
    <t>Pérez Herrera, Josefa,  Dulce dinamitera,La</t>
  </si>
  <si>
    <t>Rusia-Oriol</t>
  </si>
  <si>
    <t>Rusia-Moscú</t>
  </si>
  <si>
    <t>Almería. Málaga.</t>
  </si>
  <si>
    <t xml:space="preserve"> Internacionalista-Brigadista </t>
  </si>
  <si>
    <t>Traductora</t>
  </si>
  <si>
    <t>Interesante libro de memorias en la Guerra civil</t>
  </si>
  <si>
    <t xml:space="preserve">        n       </t>
  </si>
  <si>
    <t>Miltar-enlace guerrilla anti-franquista</t>
  </si>
  <si>
    <t>Inspiró la Novela y Pelicula “La voz dormida”</t>
  </si>
  <si>
    <t>Sanidad-Practicante</t>
  </si>
  <si>
    <t>Primera Odontóloga de Andalucía</t>
  </si>
  <si>
    <t>Niña de los Peines</t>
  </si>
  <si>
    <t xml:space="preserve">Considerada la mejor cataora de la historia   </t>
  </si>
  <si>
    <t>Córdoba-Lucena</t>
  </si>
  <si>
    <t>Literatrua-Poesía</t>
  </si>
  <si>
    <t>Deporte-Natación</t>
  </si>
  <si>
    <t>Peláez. Silvia</t>
  </si>
  <si>
    <t>Jaén-Alcalá la Real</t>
  </si>
  <si>
    <t>Jaén-Guarromán</t>
  </si>
  <si>
    <t>Empresaria-Quesos</t>
  </si>
  <si>
    <t xml:space="preserve">Buena Nueva, La. Pensil de Iberia, El. nuevo Pensil de Iberia, El. 
</t>
  </si>
  <si>
    <t>Periodico</t>
  </si>
  <si>
    <t>Movimiento obrero-Fourierismo</t>
  </si>
  <si>
    <t>La primera revista del feminismo obrero en España. Acceso a ejemplares completos.</t>
  </si>
  <si>
    <t>Relaciones Sexo-Proxeneta</t>
  </si>
  <si>
    <t>Su Prostibulo lo frecuentaba Fernando VII</t>
  </si>
  <si>
    <t>Constitución de Cádiz de 1812</t>
  </si>
  <si>
    <t>Política-Liberalismo</t>
  </si>
  <si>
    <t>Arte.Pintura</t>
  </si>
  <si>
    <t>Pereyra</t>
  </si>
  <si>
    <t>Córdoba-Castro del Río, Algeciras</t>
  </si>
  <si>
    <t>Pedagoga-Maestra</t>
  </si>
  <si>
    <t>Sara Baras</t>
  </si>
  <si>
    <t>Ciencias-Química Analítica</t>
  </si>
  <si>
    <t>Escritora-El Pensil</t>
  </si>
  <si>
    <t>Movimiento obrero-Fourierista</t>
  </si>
  <si>
    <t>FIGURA EXCEPCIONAL Maestra, bordadora, costurera, cordonera y cigarrera</t>
  </si>
  <si>
    <t>Enciso, María</t>
  </si>
  <si>
    <t>México D.F.</t>
  </si>
  <si>
    <t>Escritora-Poesía, Periodismo</t>
  </si>
  <si>
    <t>Exiliada-Comunista</t>
  </si>
  <si>
    <t>Generación del 27. De necesario redescubrimiento</t>
  </si>
  <si>
    <t xml:space="preserve"> Rosario “La Carbonera”</t>
  </si>
  <si>
    <t>Represión-Franquiso</t>
  </si>
  <si>
    <t>Exiliada hasta 1975</t>
  </si>
  <si>
    <t>Rabera, La</t>
  </si>
  <si>
    <t>Almería-Macael</t>
  </si>
  <si>
    <t>Militar-Sargento</t>
  </si>
  <si>
    <t>Directora centros auxilio</t>
  </si>
  <si>
    <t>Probablemente la única mujer Sargento en  Almeria en la Guerra de España, 1936-39</t>
  </si>
  <si>
    <t>Cádiz-Sanlúcar de Barrameda</t>
  </si>
  <si>
    <t>Comerciante-Vendedora ambulante</t>
  </si>
  <si>
    <t xml:space="preserve">Granada </t>
  </si>
  <si>
    <t>Derecho-Tribunal Constitucional</t>
  </si>
  <si>
    <t>Medalla de Andalucía Académica-Granada</t>
  </si>
  <si>
    <t>SudAmérica</t>
  </si>
  <si>
    <t>CCSociales-Psicología educación</t>
  </si>
  <si>
    <t>Cádiz-Paterna de la Rivera</t>
  </si>
  <si>
    <t>Cante-Crea Petenera</t>
  </si>
  <si>
    <t>Mito? Realidad?</t>
  </si>
  <si>
    <t>Arte¿</t>
  </si>
  <si>
    <t>Titulo nobiliario</t>
  </si>
  <si>
    <t>Política-Heroina liberal</t>
  </si>
  <si>
    <t>Represaliada-Ajusticiada</t>
  </si>
  <si>
    <t>Almería-Huercal Overa</t>
  </si>
  <si>
    <t>Navafrías-Salamanca</t>
  </si>
  <si>
    <t>Sanidad-Médica</t>
  </si>
  <si>
    <t>Primera alumna oficial de medicina en Granada</t>
  </si>
  <si>
    <t>Malaga-Antequera</t>
  </si>
  <si>
    <t>Matronazgo</t>
  </si>
  <si>
    <t xml:space="preserve">Importante en Singilia Barba (Antequera) </t>
  </si>
  <si>
    <t>Francia(Galia)-Nemauso</t>
  </si>
  <si>
    <t>Andalucía-Bética</t>
  </si>
  <si>
    <t>Política-Emperatriz romana consorte</t>
  </si>
  <si>
    <t>Esposa Trajano Impulsa subida al trono de Adriano</t>
  </si>
  <si>
    <t>Represalida por el franquimo</t>
  </si>
  <si>
    <t>Participa en la desbandá.</t>
  </si>
  <si>
    <t>Almería-Cuevas de Almanzora</t>
  </si>
  <si>
    <t>Arte-Miniaturista, modelo</t>
  </si>
  <si>
    <t>Almería-El Ejido</t>
  </si>
  <si>
    <t>Almería-Murgi</t>
  </si>
  <si>
    <t xml:space="preserve">Madre </t>
  </si>
  <si>
    <t>Clase Alta</t>
  </si>
  <si>
    <t>Badajoz-Fuente del Maestre</t>
  </si>
  <si>
    <t>Académica-Córdoba Libros sobre género, Córdoba, etc</t>
  </si>
  <si>
    <t>Sevilla-Paradas</t>
  </si>
  <si>
    <t>Sevillla-Dos Hermanas</t>
  </si>
  <si>
    <t>Trabajadora-Campo, Fábrica yute...</t>
  </si>
  <si>
    <t>Activista-Asocacionismo</t>
  </si>
  <si>
    <t>Centro de personas adultas</t>
  </si>
  <si>
    <t>Almería-El Acebuche</t>
  </si>
  <si>
    <t>Presas-Quejas</t>
  </si>
  <si>
    <t>Escrito dirigido al Juzgado de Vigilancia</t>
  </si>
  <si>
    <t>Córdoba. Sevilla.Málaga</t>
  </si>
  <si>
    <t>Presas-Represión política</t>
  </si>
  <si>
    <t>Música-Profesoras</t>
  </si>
  <si>
    <t>La Madre, la Nodriza y Eloisa Galluzo</t>
  </si>
  <si>
    <t>Almería-Las Perchas</t>
  </si>
  <si>
    <t>Prostitutas</t>
  </si>
  <si>
    <t>Almería-Alhama de Almería</t>
  </si>
  <si>
    <t>Arquitectura-Obra</t>
  </si>
  <si>
    <t>Curiosidad, un puente al que se le designa en femenino</t>
  </si>
  <si>
    <t>Activista-Labores humanitarias</t>
  </si>
  <si>
    <t>Euskadi?</t>
  </si>
  <si>
    <t xml:space="preserve">¿? </t>
  </si>
  <si>
    <t>Granada?</t>
  </si>
  <si>
    <t>Al-Andalus ¿Hija de hija de Samuel ben Nagrela?</t>
  </si>
  <si>
    <t>África?</t>
  </si>
  <si>
    <t>Activismo-Discapacidad, Asociacionismo</t>
  </si>
  <si>
    <t xml:space="preserve">Feminismo </t>
  </si>
  <si>
    <t>Cádiz (Gades)</t>
  </si>
  <si>
    <t>Celebrada por Marcial Bética-época romana</t>
  </si>
  <si>
    <t>Militar-familiares de soldado</t>
  </si>
  <si>
    <t>Hogar-Madres, esposas</t>
  </si>
  <si>
    <t>Martirio</t>
  </si>
  <si>
    <t>Científica-Oceanográfa</t>
  </si>
  <si>
    <t>Política-represaliada por el franquismo</t>
  </si>
  <si>
    <t>Primera Mujer Oceanógrafa en España.</t>
  </si>
  <si>
    <t>Marruecos-Tetuan</t>
  </si>
  <si>
    <t>Arte-Historiadora</t>
  </si>
  <si>
    <t>Posibilitó reconstrucción Patio del Castillo</t>
  </si>
  <si>
    <t xml:space="preserve">Almería-Laujar </t>
  </si>
  <si>
    <t>Castellar, Condesa. Rivas, Duquesa de</t>
  </si>
  <si>
    <t>Cádiz-Castella,Almoraima. Sevilla-Viso del Alcor</t>
  </si>
  <si>
    <t>Constructora.</t>
  </si>
  <si>
    <t>Amalia Ramírez (Lupion)</t>
  </si>
  <si>
    <t>Jaén-Lupión</t>
  </si>
  <si>
    <t>Almería-Pulpí</t>
  </si>
  <si>
    <t>Almería-Chirivel</t>
  </si>
  <si>
    <t>Activista-Derechos de la mujer.</t>
  </si>
  <si>
    <t>Temas: Málaga, Mujer, ... Académica-Málaga</t>
  </si>
  <si>
    <t>Juanita Reina</t>
  </si>
  <si>
    <t>Artista-Actriz, Cantante</t>
  </si>
  <si>
    <t>Rendón Martell, María Luisa</t>
  </si>
  <si>
    <t>Sanidad-Matron-practicante</t>
  </si>
  <si>
    <t>Política-PCE-UGT-Socorro rojo</t>
  </si>
  <si>
    <t>Represiliada-En carceles franquistas</t>
  </si>
  <si>
    <t>Madre de cuatro hijos.</t>
  </si>
  <si>
    <t>Rendón Martell, Milagros</t>
  </si>
  <si>
    <t>Mecanógrafa</t>
  </si>
  <si>
    <t>Política-PCE-UGT</t>
  </si>
  <si>
    <t>Fusilada por el franquismo</t>
  </si>
  <si>
    <t>Referencias de la página "Todos los nombres" en Abril 2007 cuando empezó la página</t>
  </si>
  <si>
    <t>Represaliadas-Asesinadas por el Franquismo</t>
  </si>
  <si>
    <t>Política-Republicanas</t>
  </si>
  <si>
    <t>Líteratura-Crítica e Historia</t>
  </si>
  <si>
    <t>Movimiento vecinal contra el hambre</t>
  </si>
  <si>
    <t>Campo Alange, María(Condesa de)</t>
  </si>
  <si>
    <t>Arte-Constructora</t>
  </si>
  <si>
    <t>Benefactora-Hospitales</t>
  </si>
  <si>
    <t>Negocios-monopolio jabón</t>
  </si>
  <si>
    <t>Deporte-Esquí</t>
  </si>
  <si>
    <t xml:space="preserve">Medalla de Andalucía 11 Podiums copa del mundo </t>
  </si>
  <si>
    <t>Enseñanza- Pedagoga y Maestra</t>
  </si>
  <si>
    <t>Protección de la infancia</t>
  </si>
  <si>
    <t>Medalla Andalucía 2016. Pta. Fundación Saramgo</t>
  </si>
  <si>
    <t>Escritora-Articulista, Poesia</t>
  </si>
  <si>
    <t>Política-Parlamentaria con Primo</t>
  </si>
  <si>
    <t>Americanista</t>
  </si>
  <si>
    <t>Alicante, Madrid</t>
  </si>
  <si>
    <t>Directora de Normal</t>
  </si>
  <si>
    <t>Feminismo-Por derechos profesoras</t>
  </si>
  <si>
    <t>Intervención destacada Congreso pedagógico 1882</t>
  </si>
  <si>
    <t>Bilbao</t>
  </si>
  <si>
    <t>Salud-Puericultura</t>
  </si>
  <si>
    <t>Colegiada en Almería en 1938</t>
  </si>
  <si>
    <t>Liota, La</t>
  </si>
  <si>
    <t>Militar-Guerrilla</t>
  </si>
  <si>
    <t>Robles Pérez, Concha</t>
  </si>
  <si>
    <t>Almería-Almedina</t>
  </si>
  <si>
    <t>Arte-Actriz de teatro</t>
  </si>
  <si>
    <t>Victima violencia machista</t>
  </si>
  <si>
    <t>Asesinada en el Teatro Cervantes</t>
  </si>
  <si>
    <t>Málaga-El Borge</t>
  </si>
  <si>
    <t>Ciencias Sociales-Historia</t>
  </si>
  <si>
    <t>Medalla de Andalucía 2018. Pro imperio</t>
  </si>
  <si>
    <t>Fundamental en la Historia sobre las mujeres</t>
  </si>
  <si>
    <t>Cádiz-Chiclana de la Frontera</t>
  </si>
  <si>
    <t>Mari, La</t>
  </si>
  <si>
    <t>Medalla de Andalucía Grupo Chambao</t>
  </si>
  <si>
    <t>Mikaela</t>
  </si>
  <si>
    <t>Francia?-Exilio</t>
  </si>
  <si>
    <t>Política-Afrancesada</t>
  </si>
  <si>
    <t>Admira la Revolución Francesa</t>
  </si>
  <si>
    <t>Mala Rodríguez, La</t>
  </si>
  <si>
    <t>Primer Premio de fotografía social Pérez Siquier.</t>
  </si>
  <si>
    <t>Primera colegiada en Almería (1933)</t>
  </si>
  <si>
    <t>Almería-Vélez-Rubio</t>
  </si>
  <si>
    <t>Religión-Apostolado seglar</t>
  </si>
  <si>
    <t>Funda la hay llamada Obra Social y CUltural Sopeña (OSCUS)</t>
  </si>
  <si>
    <t>Derecho-Fiscal</t>
  </si>
  <si>
    <t>Activista-Contra Violencia de Género</t>
  </si>
  <si>
    <t>Camacha de Montilla, La</t>
  </si>
  <si>
    <t>Cervantes en el “Coloquio de los perros”</t>
  </si>
  <si>
    <t>Rodriguez, Salvador</t>
  </si>
  <si>
    <t>Salvaora, La</t>
  </si>
  <si>
    <t xml:space="preserve">Córdoba-Alcázar Viejo </t>
  </si>
  <si>
    <t>Flamenco-Saeta</t>
  </si>
  <si>
    <t>Famosa sin dedicarse como profesión</t>
  </si>
  <si>
    <t>Imperio, Pastora</t>
  </si>
  <si>
    <t>Figura señera del Flamenco Siglo XX</t>
  </si>
  <si>
    <t>Tenerife</t>
  </si>
  <si>
    <t>Sastra y Maestra</t>
  </si>
  <si>
    <t>Impulsa la 1ª Internacional Figura excepcional</t>
  </si>
  <si>
    <t>Roldana, La</t>
  </si>
  <si>
    <t>Escultura Real</t>
  </si>
  <si>
    <t>Arte-Modelos</t>
  </si>
  <si>
    <t>Romero Yebra, Ana María</t>
  </si>
  <si>
    <t>Escritora Poesia-Otros</t>
  </si>
  <si>
    <t>Melilla</t>
  </si>
  <si>
    <t>Palmolive</t>
  </si>
  <si>
    <t>Música-Cantante-Punk</t>
  </si>
  <si>
    <t xml:space="preserve">Iniciadora mundial punk mujeres. The Slits </t>
  </si>
  <si>
    <t>, 1808</t>
  </si>
  <si>
    <t>MIlitar-Guerra de la Independencia</t>
  </si>
  <si>
    <t>"La Mujer y la Sociedad" Posible pseudónimo</t>
  </si>
  <si>
    <t>Córdoba-Fernán-Núñez</t>
  </si>
  <si>
    <t>Escritora-Poesía, narrativa, ensayo</t>
  </si>
  <si>
    <t xml:space="preserve"> Enseñanza-Didáctica de la Literatura</t>
  </si>
  <si>
    <t>Premio Andalucía de la Crítica 2004</t>
  </si>
  <si>
    <t>Sevilla-Guillena</t>
  </si>
  <si>
    <t>Represalidas-Fusiladas por los franquistas.</t>
  </si>
  <si>
    <t>Activistas-Izquierda</t>
  </si>
  <si>
    <t>Hijas predilectas de Guillena 2011</t>
  </si>
  <si>
    <t>Represaliada-Fusiladas por los franquistas</t>
  </si>
  <si>
    <t>Fanny Rubio</t>
  </si>
  <si>
    <t>Escritora-Poesía, narrativa, crítica</t>
  </si>
  <si>
    <t>Huelva-Chucena</t>
  </si>
  <si>
    <t>Rubio-Argüelles y Alessandri, Ángeles.</t>
  </si>
  <si>
    <t>Escritora-Historia-otros</t>
  </si>
  <si>
    <t>Directora teatral</t>
  </si>
  <si>
    <t>Activista cultural</t>
  </si>
  <si>
    <t>Pautret, María</t>
  </si>
  <si>
    <t>Artista-ballet</t>
  </si>
  <si>
    <t>Renueva ballet en Cuba y México18001860¿?</t>
  </si>
  <si>
    <t>Huelva-Higuera de la Sierra</t>
  </si>
  <si>
    <t>Huelva-Nerva</t>
  </si>
  <si>
    <t>Represaliada-ayudaba fusilados</t>
  </si>
  <si>
    <t>Frasquita Larrea</t>
  </si>
  <si>
    <t>Activista-Tertulia 1810</t>
  </si>
  <si>
    <t>Escritora-Traducción, otros</t>
  </si>
  <si>
    <t>Madre de Cecilia Böhl de Faber (Fernán Caballero)</t>
  </si>
  <si>
    <t>Nurya</t>
  </si>
  <si>
    <t xml:space="preserve">Cádiz-Algeciras </t>
  </si>
  <si>
    <t>Escritora-poeta, zejelera,</t>
  </si>
  <si>
    <t xml:space="preserve"> Conferenciante y articulista</t>
  </si>
  <si>
    <t>Modelo</t>
  </si>
  <si>
    <t>Miss España 2004</t>
  </si>
  <si>
    <t>Francia-Colliure</t>
  </si>
  <si>
    <t>Con su hijo Antonio Machado hasta morir</t>
  </si>
  <si>
    <t>Movimiento obrero y vecinal</t>
  </si>
  <si>
    <t>Rechaza Medalla (2011) en protesta por recortes sociales</t>
  </si>
  <si>
    <t>Montés, Elisa</t>
  </si>
  <si>
    <t>Paquita, Doña</t>
  </si>
  <si>
    <t>Málaga-Istán</t>
  </si>
  <si>
    <t>Un auténtico Poder en el pueblo</t>
  </si>
  <si>
    <t>Colchona, La</t>
  </si>
  <si>
    <t>Empresaria-Alimentación</t>
  </si>
  <si>
    <t>Expansión del Mantecado</t>
  </si>
  <si>
    <t>Arte-Pintura, donante</t>
  </si>
  <si>
    <t>Fundadora Museo Picasso de Málaga Medalla de Andalucía</t>
  </si>
  <si>
    <t>Relaciones Sexo-Celestina</t>
  </si>
  <si>
    <t>Investigada 1589</t>
  </si>
  <si>
    <t>Relaciones sexo-Alcahueta</t>
  </si>
  <si>
    <t>Investigada1591</t>
  </si>
  <si>
    <t xml:space="preserve">Al-Sáyyidat al-Kubra </t>
  </si>
  <si>
    <t>Portugal-Silves, Sevilla</t>
  </si>
  <si>
    <t>Política-Esposa al-Mutamid</t>
  </si>
  <si>
    <t>esclava de arriero, Antes</t>
  </si>
  <si>
    <t>Málaga, Toledo-Talavera de la Reina</t>
  </si>
  <si>
    <t>Arte-Ceramista</t>
  </si>
  <si>
    <t>Badajoz-Santa Marta de los Barros</t>
  </si>
  <si>
    <t>Huelva, Sevilla, ...</t>
  </si>
  <si>
    <t>Comecio-Tienda ultramarinos</t>
  </si>
  <si>
    <t>Activista-Mujer de respeto</t>
  </si>
  <si>
    <t>Italia</t>
  </si>
  <si>
    <t>Política-Influye sucesión Adriano</t>
  </si>
  <si>
    <t>Religión-deificada</t>
  </si>
  <si>
    <t xml:space="preserve"> Cádiz</t>
  </si>
  <si>
    <t>Escritora-Biografa de Torrijos</t>
  </si>
  <si>
    <t>Almería-Dalias</t>
  </si>
  <si>
    <t>Salud-Psiquiatría</t>
  </si>
  <si>
    <t>Feminista-Libreria de Mujeres</t>
  </si>
  <si>
    <t>Kaíta, La</t>
  </si>
  <si>
    <t>Almería-Laroya?</t>
  </si>
  <si>
    <t>Perú</t>
  </si>
  <si>
    <t>Alto cargo-Comendadora</t>
  </si>
  <si>
    <t>Esclava-liberta Morisca</t>
  </si>
  <si>
    <t>Posible introductora del Trigo en Perú</t>
  </si>
  <si>
    <t>Hogar-HIja</t>
  </si>
  <si>
    <t>Almería-Fondón</t>
  </si>
  <si>
    <t>Movimiento Obrero-CCOO</t>
  </si>
  <si>
    <t>Política-Comunista, Feminista</t>
  </si>
  <si>
    <t>Escritora-Mística</t>
  </si>
  <si>
    <t>Trabajo-Jornaleras Campo</t>
  </si>
  <si>
    <t xml:space="preserve">Movimiento Obrero </t>
  </si>
  <si>
    <t>Represaliadas por el franquismo- fusiladas</t>
  </si>
  <si>
    <t>Victimas de la represión de Queipo de Llano</t>
  </si>
  <si>
    <t>Periodista-Radio</t>
  </si>
  <si>
    <t>Enseñanza-Ciencias Sociales</t>
  </si>
  <si>
    <t>Activista-Animalista</t>
  </si>
  <si>
    <t>Granada-Cájar</t>
  </si>
  <si>
    <t>Malú</t>
  </si>
  <si>
    <t>Cadiz</t>
  </si>
  <si>
    <t>Trabajadora-Sastrería</t>
  </si>
  <si>
    <t>Salamanca</t>
  </si>
  <si>
    <t>Académica-San Fernando, Cádiz</t>
  </si>
  <si>
    <t>Artista-actriz</t>
  </si>
  <si>
    <t>Almería-Carboneras</t>
  </si>
  <si>
    <t>Pastora Soler</t>
  </si>
  <si>
    <t>Religión-Funda "La obra de la Iglesia"</t>
  </si>
  <si>
    <t>Sánchez Rodríguez, María</t>
  </si>
  <si>
    <t>Acrivismo-Medio y Mujer rural</t>
  </si>
  <si>
    <t>Almería-Albox</t>
  </si>
  <si>
    <t>Religión-Opus Dei</t>
  </si>
  <si>
    <t>Alto carto del Opus Dei.</t>
  </si>
  <si>
    <t>Sevilla, Guatemala</t>
  </si>
  <si>
    <t xml:space="preserve">CCSociales-Antropología, Historia </t>
  </si>
  <si>
    <t>Temas americanista, mujer</t>
  </si>
  <si>
    <t>Badajoz-Azauga</t>
  </si>
  <si>
    <t>Enseñanza-Parálisis cerebral</t>
  </si>
  <si>
    <t>Emily</t>
  </si>
  <si>
    <t>Formadora</t>
  </si>
  <si>
    <t>Empresaria</t>
  </si>
  <si>
    <t>Salud-Farmacia</t>
  </si>
  <si>
    <t>Huelva-Trigueros</t>
  </si>
  <si>
    <t>Medalla de Andalucía.  Fundación de ayuda a la infancia, juventud y mayores.</t>
  </si>
  <si>
    <t>Tani</t>
  </si>
  <si>
    <t>Religión-Beata visionaria</t>
  </si>
  <si>
    <t>Guadalajara</t>
  </si>
  <si>
    <t>El Gaviero. Salamandría. Madre de Luna Miguel Santos</t>
  </si>
  <si>
    <t>Política-Reclama ante el califa de Damasco</t>
  </si>
  <si>
    <t>Ciencias-Biología marina</t>
  </si>
  <si>
    <t>Sarraga, Segarra</t>
  </si>
  <si>
    <t xml:space="preserve">Valladolid </t>
  </si>
  <si>
    <t>Málaga, Andalucía-General</t>
  </si>
  <si>
    <t>Movimiento obrero</t>
  </si>
  <si>
    <t>Política, Masonería, etc</t>
  </si>
  <si>
    <t>Personaje fundamental a ambos lados del Atlántico</t>
  </si>
  <si>
    <t>Sitt al-Hurra</t>
  </si>
  <si>
    <t>Granada, Reino de, Marruecos-Tetuán</t>
  </si>
  <si>
    <t>Política-Gobierna Tetuán</t>
  </si>
  <si>
    <t xml:space="preserve"> Parcent,  Duquesa de</t>
  </si>
  <si>
    <t>Viena</t>
  </si>
  <si>
    <t>CCSociales-Patrimonio hístorico</t>
  </si>
  <si>
    <t>Enseñanza-Institución Teresiana</t>
  </si>
  <si>
    <t>Almería, Granada...</t>
  </si>
  <si>
    <t>Tema: Medieval, Mujer</t>
  </si>
  <si>
    <t>Feminismo-Atención Victimas maltrato</t>
  </si>
  <si>
    <t>DerechoAbogada</t>
  </si>
  <si>
    <t>Baronesa de Wilson</t>
  </si>
  <si>
    <t>Viajera</t>
  </si>
  <si>
    <t>Córdoba-Fernán</t>
  </si>
  <si>
    <t>Montijano, Dolores</t>
  </si>
  <si>
    <t>Jaén-Alcala la Real</t>
  </si>
  <si>
    <t>Almería-Gergal</t>
  </si>
  <si>
    <t>Religión-Misticismo</t>
  </si>
  <si>
    <t>Estudiante</t>
  </si>
  <si>
    <t>Descubre un asteroide con 15 años</t>
  </si>
  <si>
    <t>-.</t>
  </si>
  <si>
    <t>Almería- Chanca, La</t>
  </si>
  <si>
    <t>Filantropía</t>
  </si>
  <si>
    <t>Le da el nombre a una calle.</t>
  </si>
  <si>
    <t>Yasmina de Marchena</t>
  </si>
  <si>
    <t xml:space="preserve">-
</t>
  </si>
  <si>
    <t xml:space="preserve">Relligión-Mística sufí Islam
</t>
  </si>
  <si>
    <t>Al-Andalus Maestra de Ibn al'Arabi</t>
  </si>
  <si>
    <t>Literatura</t>
  </si>
  <si>
    <t xml:space="preserve">Al-Andalus, Colectivo </t>
  </si>
  <si>
    <t>Religión-Atención niños familias problemáticas</t>
  </si>
  <si>
    <t>Religión-asistencia a pobres</t>
  </si>
  <si>
    <t>Religión-Juventud y objetos de culto</t>
  </si>
  <si>
    <t>Libertaria, La</t>
  </si>
  <si>
    <t>Cádiz-Casas Viejas</t>
  </si>
  <si>
    <t>Cádiz-Median Sidonia</t>
  </si>
  <si>
    <t>Movimiento Obrero-Anarquista. CNT</t>
  </si>
  <si>
    <t>Represaliada-Fusilada por los franquista</t>
  </si>
  <si>
    <t>Heroína de Casas-Viejas 1933</t>
  </si>
  <si>
    <t>Juana la del revuelo</t>
  </si>
  <si>
    <t>Flamenco-Cante,baile</t>
  </si>
  <si>
    <t>Londres?</t>
  </si>
  <si>
    <t>Prensa´- Editora</t>
  </si>
  <si>
    <t>Editora de El Robespierre español (1811-12, )</t>
  </si>
  <si>
    <t>Cazalla de la Sierra.</t>
  </si>
  <si>
    <t>Cazalla de la Sierra</t>
  </si>
  <si>
    <t>Sirvientas</t>
  </si>
  <si>
    <t>Escuela de Jóvenes sirvientas 1908</t>
  </si>
  <si>
    <t>Militar- Apoyo logistico Guerra de la Indepencencia</t>
  </si>
  <si>
    <t>Asociación</t>
  </si>
  <si>
    <t xml:space="preserve">Política-Republicanismo </t>
  </si>
  <si>
    <t>fundadapor la sevillana Ángeles López Ayala.</t>
  </si>
  <si>
    <t>Irma Soriano</t>
  </si>
  <si>
    <t>Jaén-Andaujar</t>
  </si>
  <si>
    <t>Periodismo-Radio,Televisión</t>
  </si>
  <si>
    <t>Emma Foraville</t>
  </si>
  <si>
    <t>Escritora-Poesía, Teatro infantil, etc</t>
  </si>
  <si>
    <t>Escritora - Articulista Antiprogresista</t>
  </si>
  <si>
    <t>Tomasa</t>
  </si>
  <si>
    <t>Política-Influyente</t>
  </si>
  <si>
    <t>Recibe el “Bote de Zaragoza” Maniobra con Al-haken II, Hixem II, Almanzor</t>
  </si>
  <si>
    <t>Susona, La</t>
  </si>
  <si>
    <t>Delatora-Inquisición</t>
  </si>
  <si>
    <t>Arrepentida</t>
  </si>
  <si>
    <t>Activista-Por la memoria</t>
  </si>
  <si>
    <t>Represaliada-Franquismo y Vichiy</t>
  </si>
  <si>
    <t>Obra autobiográfica "La bastarda del PC". Familia Tauriny, Vicente Talens, Gabriel Péri (héroe francés)</t>
  </si>
  <si>
    <t xml:space="preserve">Tortajada, La </t>
  </si>
  <si>
    <t>Granada-Santa Fé</t>
  </si>
  <si>
    <t>Artista- Actriz de Variedades</t>
  </si>
  <si>
    <t>Proyección Mundia</t>
  </si>
  <si>
    <t>Libano (Fenicia)</t>
  </si>
  <si>
    <t>Andalucia-zona influencia Fenicia</t>
  </si>
  <si>
    <t>Religión-Diosa</t>
  </si>
  <si>
    <t>Pohorylle, Gerta</t>
  </si>
  <si>
    <t>Alemania-Stuttgart</t>
  </si>
  <si>
    <t>Madrid-El Escoria</t>
  </si>
  <si>
    <t>Córdoba, Almería</t>
  </si>
  <si>
    <t>"Crea" a Robert Capa. Muerte en el frente (Brunete) en la Guerra Civil</t>
  </si>
  <si>
    <t>Bádajoz-Medellín</t>
  </si>
  <si>
    <t>Trabajo-Agrícola</t>
  </si>
  <si>
    <t>Marty, Pauline</t>
  </si>
  <si>
    <t>Francia-Château Roussillon</t>
  </si>
  <si>
    <t>Espia-Agente enlace</t>
  </si>
  <si>
    <t>Brigadas Internacionales</t>
  </si>
  <si>
    <t>Compañera de Vicente Talens. El Gobernador civil de los refugios, Almería 1937-38</t>
  </si>
  <si>
    <t>Sevilla-Cerro del Águila</t>
  </si>
  <si>
    <t>Cine-Directora</t>
  </si>
  <si>
    <t>Medalla de Andalucía 2023</t>
  </si>
  <si>
    <t>Vizkaya-Baracaldo</t>
  </si>
  <si>
    <t>Deportes-Espeleología</t>
  </si>
  <si>
    <t>Gran Maestre de Logía</t>
  </si>
  <si>
    <t>Religión-Atención clero y necesitados</t>
  </si>
  <si>
    <t>Embarazo</t>
  </si>
  <si>
    <t>La monja "preñada por Satanas"</t>
  </si>
  <si>
    <t>Pepita Tomás</t>
  </si>
  <si>
    <t>Córdoba-Puente Genil</t>
  </si>
  <si>
    <t>Académica-Écija (Sevilla)</t>
  </si>
  <si>
    <t>Jaén-Cabra de Santo Cristo</t>
  </si>
  <si>
    <t>Represaliada- por ser familiar de guerrilla</t>
  </si>
  <si>
    <t>Militar-Familiar de guerrilla</t>
  </si>
  <si>
    <t>Presa en Huelma 1944</t>
  </si>
  <si>
    <t>Millitar-Gerrilla antifranquista</t>
  </si>
  <si>
    <t>Represaliada-Fusilada</t>
  </si>
  <si>
    <t>Religión-Cofradías</t>
  </si>
  <si>
    <t>Hermana Mayor de  los Verdes</t>
  </si>
  <si>
    <t>Córdoba-Pozo Blanco</t>
  </si>
  <si>
    <t>Jaén–Alcalá la Real</t>
  </si>
  <si>
    <t>Archivos y Bibliotecas-Documentalista</t>
  </si>
  <si>
    <t>Feminismo-Estudios</t>
  </si>
  <si>
    <t>Lola Torres</t>
  </si>
  <si>
    <t>Arte-Música</t>
  </si>
  <si>
    <t>Enseñanza-Conservatorio de música</t>
  </si>
  <si>
    <t xml:space="preserve">Mendoza, La de La </t>
  </si>
  <si>
    <t>Trabajo-Agricultura y Animales</t>
  </si>
  <si>
    <t>Argelia- Orán</t>
  </si>
  <si>
    <t>Exiliiada: Orán, Casablanca, La Habana.</t>
  </si>
  <si>
    <t>Alemania</t>
  </si>
  <si>
    <t>Empresa_Marqueting</t>
  </si>
  <si>
    <t>Carmencita</t>
  </si>
  <si>
    <t>Almería-Barrio Alto</t>
  </si>
  <si>
    <t>Música-Cupletista</t>
  </si>
  <si>
    <t>Prisionera</t>
  </si>
  <si>
    <t>Prisionera en la guerra del RIF</t>
  </si>
  <si>
    <t>Enseñanza-Literatura</t>
  </si>
  <si>
    <t>Pepita Barrientos Parcent,  Duquesa de</t>
  </si>
  <si>
    <t>Arte-Colección</t>
  </si>
  <si>
    <t>Escriltora</t>
  </si>
  <si>
    <t>Cádiz-Alcalá de los Gazules,</t>
  </si>
  <si>
    <t>Salud-Partera</t>
  </si>
  <si>
    <t>Serrana, La</t>
  </si>
  <si>
    <t>Arte-Pintura, Grabado</t>
  </si>
  <si>
    <t>María La Mica</t>
  </si>
  <si>
    <t>Cádiz-Sanlucar de Barrameda</t>
  </si>
  <si>
    <t>Aurora  Vargas</t>
  </si>
  <si>
    <t>Escritora-Poesia, narrativa, etc</t>
  </si>
  <si>
    <t>Activista-Asociación Ciegos</t>
  </si>
  <si>
    <t>Académica-Cordoba</t>
  </si>
  <si>
    <t>Almeria, Granada, Cádiz-Algeciras</t>
  </si>
  <si>
    <t>Activista-culltural</t>
  </si>
  <si>
    <t>Colectivo Andarax</t>
  </si>
  <si>
    <t>Cádiz-Jerez de la frontera</t>
  </si>
  <si>
    <t>Canadá</t>
  </si>
  <si>
    <t>Sastre</t>
  </si>
  <si>
    <t>Represaliada-Exiliada por los franquistas</t>
  </si>
  <si>
    <t xml:space="preserve">Sevilla-La Macarena </t>
  </si>
  <si>
    <t>Sevilla-San Juan de Aznalfarche</t>
  </si>
  <si>
    <t>Artista-Copla</t>
  </si>
  <si>
    <t>Enseñanza-Profesora de la Normal</t>
  </si>
  <si>
    <t>Escritora-Poesia, otras</t>
  </si>
  <si>
    <t>Literatura-poesía</t>
  </si>
  <si>
    <t>Madres</t>
  </si>
  <si>
    <t>Documental de Lola Parra</t>
  </si>
  <si>
    <t>Badajoz-Malcocinado</t>
  </si>
  <si>
    <t>Huelva-Cortegana</t>
  </si>
  <si>
    <t>Represaliada por el franquismo- Fusilada</t>
  </si>
  <si>
    <t>Ganadería</t>
  </si>
  <si>
    <t>Collado de Las Ratas de Valdelamusa</t>
  </si>
  <si>
    <t>Vera, Pilar . Sevilla</t>
  </si>
  <si>
    <t>Revoluciona traje flamenco. Medalla Andalucía 2022</t>
  </si>
  <si>
    <t>Empresa-Libros</t>
  </si>
  <si>
    <t>Envia  libros a américa al menos hasta 1618</t>
  </si>
  <si>
    <t>Salud-Cuidadados enfermedad</t>
  </si>
  <si>
    <t>Cuidó a Lope de vega en  1602</t>
  </si>
  <si>
    <t>Palencia-Paredes de Nava</t>
  </si>
  <si>
    <t>Enseñanza-Pedagogía Popular (MCEP)</t>
  </si>
  <si>
    <t>Activista-Mov. Junior y otros</t>
  </si>
  <si>
    <t>Alicante-Alcoy</t>
  </si>
  <si>
    <t>Directora Museo Arquelógico de Córdoba Académica-Córdoba</t>
  </si>
  <si>
    <t>Mozambique-Maputo</t>
  </si>
  <si>
    <t>Activista-Cooperante</t>
  </si>
  <si>
    <t>Medalla de Andalucía Coordinadora Hospital José Macamo en Maputo</t>
  </si>
  <si>
    <t>CCSociales-Histoira</t>
  </si>
  <si>
    <t>Académica-Sevilla. Americanista señera. Medalla de Andalucía</t>
  </si>
  <si>
    <t>Enseñanza-Profesora y directora</t>
  </si>
  <si>
    <t>Primera mujer hermana mayor de una Cofradía de Sevilla</t>
  </si>
  <si>
    <t>Málaga-Benalmádena-Arroyo de la Miel</t>
  </si>
  <si>
    <t>Sevilla, Huelva</t>
  </si>
  <si>
    <t>Ciencias-Ingenieria</t>
  </si>
  <si>
    <t>CCSociales-Patrimonio Histórico</t>
  </si>
  <si>
    <t>Enseñanza-Univ. de Sevilla</t>
  </si>
  <si>
    <t>Colaboró en la restauración de los "leones" de la Ahambra (2007-...)</t>
  </si>
  <si>
    <t>Villén del Rey, María Vicenta Silvestre</t>
  </si>
  <si>
    <t>Burgos</t>
  </si>
  <si>
    <t>Jaén, Córdoba, Norte de África</t>
  </si>
  <si>
    <t>En el norte de África en campo de concentración</t>
  </si>
  <si>
    <t>Lleida</t>
  </si>
  <si>
    <t>Activista-cutlural</t>
  </si>
  <si>
    <t>Elegida por los lectores de Ideal como el personaje de más importancia del siglo XX</t>
  </si>
  <si>
    <t>Al-andalus, Su poeta más famosa. Su vida también fue su obra.</t>
  </si>
  <si>
    <t>AlemaníaHeilbronn</t>
  </si>
  <si>
    <t>Ffilántropa</t>
  </si>
  <si>
    <t>Enseñanza-Pedagoga</t>
  </si>
  <si>
    <t>Whishaw,  Ellen Mary</t>
  </si>
  <si>
    <t>Inglaterra</t>
  </si>
  <si>
    <t>Huelva-Niebla</t>
  </si>
  <si>
    <t>Virginia Stephen, Adeline</t>
  </si>
  <si>
    <t>Reino Unido- Londres</t>
  </si>
  <si>
    <t>Reino Unido-Sussex-Lewes</t>
  </si>
  <si>
    <t>Granada-Alpujarra, Sevilla, Almería</t>
  </si>
  <si>
    <t>Viajes por Andalucía</t>
  </si>
  <si>
    <t>Estados Unidos-Carolina del Sur-Aiken</t>
  </si>
  <si>
    <t>Literatura-Poesia, Novela</t>
  </si>
  <si>
    <t>"Málaga en llamas” sobre la guerra civil en dicha ciudad.</t>
  </si>
  <si>
    <t>Bella Dorita, La</t>
  </si>
  <si>
    <t>Artista- Cantante,Variedades</t>
  </si>
  <si>
    <t>Gran personaje del Paralelo Barcelonés</t>
  </si>
  <si>
    <t>Guipúzcoa-Irún</t>
  </si>
  <si>
    <t>Cádiz-Rota</t>
  </si>
  <si>
    <t>Militar-Marina</t>
  </si>
  <si>
    <t>Primera, en España, comandante de buque de guerra, 2005. Medalla de Andalucía</t>
  </si>
  <si>
    <t>Empresa-Productos limpieza</t>
  </si>
  <si>
    <t>Activista-Integración inmigración</t>
  </si>
  <si>
    <t>Inglaterra-Ipswich</t>
  </si>
  <si>
    <t>Málaga-Pedralarejo</t>
  </si>
  <si>
    <t>Deporte-Vela</t>
  </si>
  <si>
    <t>Campeona del mundo y olímipica. Medalla de Andalucía.</t>
  </si>
  <si>
    <t>Granada(Elvira)?</t>
  </si>
  <si>
    <t>Hogar-Amante</t>
  </si>
  <si>
    <t>¿Realidad o Leyenda? Al-Andalus.  Abderraman III en su honor ordena construir Madinat al-Zahra</t>
  </si>
  <si>
    <t>Isabel (lelisabeth)</t>
  </si>
  <si>
    <t>Castilla</t>
  </si>
  <si>
    <t>Hogar-Madre, Esposa.</t>
  </si>
  <si>
    <t>Al-Andalus. Nuera de Almutamid, Después Mujer Alfonso VI</t>
  </si>
  <si>
    <t xml:space="preserve">Málaga-Vélez-Málaga </t>
  </si>
  <si>
    <t>Medalla de Andalucía. Premio Principe de Asturias. Excepcional pensadora.</t>
  </si>
  <si>
    <t>Talegona, María La</t>
  </si>
  <si>
    <t>Trabjadora-Limipiadora</t>
  </si>
  <si>
    <t>Escritora-Directora periódico</t>
  </si>
  <si>
    <t>Cataluña</t>
  </si>
  <si>
    <t>Andalucía (al-Andalus)</t>
  </si>
  <si>
    <t>Arte-Musicóloga</t>
  </si>
  <si>
    <t>Recupera música al-Andalus</t>
  </si>
  <si>
    <t>Solis, Isabel de</t>
  </si>
  <si>
    <t>Política-Reina consorte</t>
  </si>
  <si>
    <t>Al-Andalus, Reino Nazarí  de Granada</t>
  </si>
  <si>
    <t>Mantos y bordados religiosos, militares,...</t>
  </si>
  <si>
    <t>Activista-cultural</t>
  </si>
  <si>
    <t>Enseñanza-Profesora IES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</si>
</sst>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29">
    <font>
      <sz val="10.0"/>
      <color rgb="FF000000"/>
      <name val="Arial"/>
    </font>
    <font/>
    <font>
      <name val="Arial"/>
    </font>
    <font>
      <u/>
      <color rgb="FF0000FF"/>
    </font>
    <font>
      <sz val="10.0"/>
      <color rgb="FFFF0000"/>
    </font>
    <font>
      <u/>
      <color rgb="FF0000FF"/>
    </font>
    <font>
      <sz val="10.0"/>
      <color rgb="FF000000"/>
    </font>
    <font>
      <u/>
      <color rgb="FF0000FF"/>
    </font>
    <font>
      <color rgb="FFFF0000"/>
    </font>
    <font>
      <sz val="11.0"/>
    </font>
    <font>
      <color rgb="FF000000"/>
    </font>
    <font>
      <u/>
      <sz val="10.0"/>
      <color rgb="FF0000FF"/>
    </font>
    <font>
      <sz val="12.0"/>
      <color rgb="FF000000"/>
      <name val="Times New Roman"/>
    </font>
    <font>
      <u/>
      <color rgb="FF0000FF"/>
    </font>
    <font>
      <sz val="10.0"/>
      <color rgb="FF000000"/>
      <name val="Inconsolata"/>
    </font>
    <font>
      <i/>
    </font>
    <font>
      <color rgb="FF000000"/>
      <name val="Arial"/>
    </font>
    <font>
      <sz val="10.0"/>
    </font>
    <font>
      <u/>
      <color rgb="FF0000FF"/>
    </font>
    <font>
      <sz val="9.0"/>
      <color rgb="FF1F1F1F"/>
      <name val="&quot;Google Sans&quot;"/>
    </font>
    <font>
      <u/>
      <sz val="10.0"/>
      <color rgb="FF0000FF"/>
    </font>
    <font>
      <sz val="10.0"/>
      <name val="Arial"/>
    </font>
    <font>
      <sz val="11.0"/>
      <color rgb="FF000000"/>
      <name val="Inconsolata"/>
    </font>
    <font>
      <sz val="11.0"/>
      <color rgb="FFFF0000"/>
      <name val="Inconsolata"/>
    </font>
    <font>
      <sz val="12.0"/>
      <color rgb="FF000000"/>
      <name val="'Times New Roman'"/>
    </font>
    <font>
      <sz val="9.0"/>
      <color rgb="FF666666"/>
      <name val="Helvetica"/>
    </font>
    <font>
      <color rgb="FFCC0000"/>
    </font>
    <font>
      <b/>
    </font>
    <font>
      <sz val="12.0"/>
      <color rgb="FF000000"/>
      <name val="&quot;Times New Roman&quot;"/>
    </font>
  </fonts>
  <fills count="3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</fills>
  <borders count="1">
    <border/>
  </borders>
  <cellStyleXfs count="1">
    <xf borderId="0" fillId="0" fontId="0" numFmtId="0" applyAlignment="1" applyFont="1"/>
  </cellStyleXfs>
  <cellXfs count="67">
    <xf borderId="0" fillId="0" fontId="0" numFmtId="0" xfId="0" applyAlignment="1" applyFont="1">
      <alignment readingOrder="0" shrinkToFit="0" vertical="bottom" wrapText="1"/>
    </xf>
    <xf borderId="0" fillId="0" fontId="1" numFmtId="0" xfId="0" applyAlignment="1" applyFont="1">
      <alignment readingOrder="0" shrinkToFit="0" wrapText="1"/>
    </xf>
    <xf borderId="0" fillId="0" fontId="1" numFmtId="0" xfId="0" applyAlignment="1" applyFont="1">
      <alignment horizontal="right" readingOrder="0" shrinkToFit="0" vertical="bottom" wrapText="1"/>
    </xf>
    <xf borderId="0" fillId="0" fontId="2" numFmtId="0" xfId="0" applyAlignment="1" applyFont="1">
      <alignment shrinkToFit="0" vertical="bottom" wrapText="1"/>
    </xf>
    <xf borderId="0" fillId="0" fontId="3" numFmtId="0" xfId="0" applyAlignment="1" applyFont="1">
      <alignment shrinkToFit="0" wrapText="1"/>
    </xf>
    <xf borderId="0" fillId="0" fontId="4" numFmtId="0" xfId="0" applyAlignment="1" applyFont="1">
      <alignment horizontal="right" readingOrder="0" shrinkToFit="0" vertical="bottom" wrapText="1"/>
    </xf>
    <xf borderId="0" fillId="0" fontId="4" numFmtId="0" xfId="0" applyAlignment="1" applyFont="1">
      <alignment readingOrder="0" shrinkToFit="0" wrapText="1"/>
    </xf>
    <xf borderId="0" fillId="0" fontId="5" numFmtId="0" xfId="0" applyAlignment="1" applyFont="1">
      <alignment shrinkToFit="0" wrapText="1"/>
    </xf>
    <xf borderId="0" fillId="0" fontId="1" numFmtId="0" xfId="0" applyAlignment="1" applyFont="1">
      <alignment shrinkToFit="0" wrapText="1"/>
    </xf>
    <xf borderId="0" fillId="0" fontId="1" numFmtId="0" xfId="0" applyAlignment="1" applyFont="1">
      <alignment readingOrder="0" shrinkToFit="0" wrapText="1"/>
    </xf>
    <xf borderId="0" fillId="0" fontId="6" numFmtId="0" xfId="0" applyAlignment="1" applyFont="1">
      <alignment readingOrder="0" shrinkToFit="0" wrapText="1"/>
    </xf>
    <xf borderId="0" fillId="0" fontId="7" numFmtId="0" xfId="0" applyAlignment="1" applyFont="1">
      <alignment readingOrder="0" shrinkToFit="0" wrapText="1"/>
    </xf>
    <xf borderId="0" fillId="0" fontId="8" numFmtId="0" xfId="0" applyAlignment="1" applyFont="1">
      <alignment horizontal="right" readingOrder="0" shrinkToFit="0" vertical="bottom" wrapText="1"/>
    </xf>
    <xf borderId="0" fillId="0" fontId="8" numFmtId="0" xfId="0" applyAlignment="1" applyFont="1">
      <alignment readingOrder="0" shrinkToFit="0" wrapText="1"/>
    </xf>
    <xf borderId="0" fillId="0" fontId="2" numFmtId="0" xfId="0" applyAlignment="1" applyFont="1">
      <alignment readingOrder="0" shrinkToFit="0" vertical="bottom" wrapText="1"/>
    </xf>
    <xf borderId="0" fillId="0" fontId="1" numFmtId="0" xfId="0" applyAlignment="1" applyFont="1">
      <alignment horizontal="right" readingOrder="0" shrinkToFit="0" vertical="bottom" wrapText="1"/>
    </xf>
    <xf borderId="0" fillId="0" fontId="6" numFmtId="0" xfId="0" applyAlignment="1" applyFont="1">
      <alignment horizontal="right" readingOrder="0" shrinkToFit="0" vertical="bottom" wrapText="1"/>
    </xf>
    <xf borderId="0" fillId="0" fontId="6" numFmtId="0" xfId="0" applyAlignment="1" applyFont="1">
      <alignment readingOrder="0" shrinkToFit="0" wrapText="1"/>
    </xf>
    <xf borderId="0" fillId="0" fontId="1" numFmtId="0" xfId="0" applyAlignment="1" applyFont="1">
      <alignment horizontal="left" readingOrder="0" shrinkToFit="0" vertical="bottom" wrapText="1"/>
    </xf>
    <xf borderId="0" fillId="0" fontId="2" numFmtId="0" xfId="0" applyAlignment="1" applyFont="1">
      <alignment shrinkToFit="0" vertical="bottom" wrapText="1"/>
    </xf>
    <xf borderId="0" fillId="2" fontId="9" numFmtId="0" xfId="0" applyAlignment="1" applyFill="1" applyFont="1">
      <alignment readingOrder="0" shrinkToFit="0" wrapText="1"/>
    </xf>
    <xf borderId="0" fillId="0" fontId="10" numFmtId="0" xfId="0" applyAlignment="1" applyFont="1">
      <alignment readingOrder="0" shrinkToFit="0" wrapText="1"/>
    </xf>
    <xf borderId="0" fillId="0" fontId="11" numFmtId="0" xfId="0" applyAlignment="1" applyFont="1">
      <alignment shrinkToFit="0" wrapText="1"/>
    </xf>
    <xf borderId="0" fillId="0" fontId="12" numFmtId="0" xfId="0" applyAlignment="1" applyFont="1">
      <alignment readingOrder="0" shrinkToFit="0" wrapText="1"/>
    </xf>
    <xf borderId="0" fillId="0" fontId="13" numFmtId="0" xfId="0" applyAlignment="1" applyFont="1">
      <alignment readingOrder="0" shrinkToFit="0" wrapText="1"/>
    </xf>
    <xf borderId="0" fillId="0" fontId="4" numFmtId="0" xfId="0" applyAlignment="1" applyFont="1">
      <alignment readingOrder="0" shrinkToFit="0" wrapText="1"/>
    </xf>
    <xf borderId="0" fillId="2" fontId="14" numFmtId="0" xfId="0" applyAlignment="1" applyFont="1">
      <alignment readingOrder="0" shrinkToFit="0" wrapText="1"/>
    </xf>
    <xf borderId="0" fillId="0" fontId="4" numFmtId="0" xfId="0" applyAlignment="1" applyFont="1">
      <alignment horizontal="right" readingOrder="0" shrinkToFit="0" vertical="bottom" wrapText="1"/>
    </xf>
    <xf borderId="0" fillId="0" fontId="15" numFmtId="0" xfId="0" applyAlignment="1" applyFont="1">
      <alignment readingOrder="0" shrinkToFit="0" wrapText="1"/>
    </xf>
    <xf borderId="0" fillId="0" fontId="10" numFmtId="0" xfId="0" applyAlignment="1" applyFont="1">
      <alignment horizontal="right" readingOrder="0" shrinkToFit="0" vertical="bottom" wrapText="1"/>
    </xf>
    <xf borderId="0" fillId="2" fontId="16" numFmtId="0" xfId="0" applyAlignment="1" applyFont="1">
      <alignment horizontal="left" readingOrder="0" shrinkToFit="0" wrapText="1"/>
    </xf>
    <xf borderId="0" fillId="2" fontId="9" numFmtId="0" xfId="0" applyAlignment="1" applyFont="1">
      <alignment horizontal="left" readingOrder="0" shrinkToFit="0" wrapText="1"/>
    </xf>
    <xf borderId="0" fillId="0" fontId="17" numFmtId="0" xfId="0" applyAlignment="1" applyFont="1">
      <alignment horizontal="right" readingOrder="0" shrinkToFit="0" vertical="bottom" wrapText="1"/>
    </xf>
    <xf borderId="0" fillId="0" fontId="17" numFmtId="0" xfId="0" applyAlignment="1" applyFont="1">
      <alignment readingOrder="0" shrinkToFit="0" wrapText="1"/>
    </xf>
    <xf borderId="0" fillId="0" fontId="18" numFmtId="0" xfId="0" applyAlignment="1" applyFont="1">
      <alignment readingOrder="0" shrinkToFit="0" wrapText="1"/>
    </xf>
    <xf borderId="0" fillId="2" fontId="16" numFmtId="0" xfId="0" applyAlignment="1" applyFont="1">
      <alignment readingOrder="0" shrinkToFit="0" wrapText="1"/>
    </xf>
    <xf borderId="0" fillId="2" fontId="19" numFmtId="0" xfId="0" applyAlignment="1" applyFont="1">
      <alignment readingOrder="0" shrinkToFit="0" wrapText="1"/>
    </xf>
    <xf borderId="0" fillId="0" fontId="1" numFmtId="0" xfId="0" applyAlignment="1" applyFont="1">
      <alignment horizontal="right" readingOrder="0" shrinkToFit="0" wrapText="1"/>
    </xf>
    <xf borderId="0" fillId="2" fontId="6" numFmtId="0" xfId="0" applyAlignment="1" applyFont="1">
      <alignment readingOrder="0" shrinkToFit="0" wrapText="1"/>
    </xf>
    <xf borderId="0" fillId="0" fontId="16" numFmtId="0" xfId="0" applyAlignment="1" applyFont="1">
      <alignment shrinkToFit="0" vertical="bottom" wrapText="1"/>
    </xf>
    <xf borderId="0" fillId="0" fontId="20" numFmtId="0" xfId="0" applyAlignment="1" applyFont="1">
      <alignment shrinkToFit="0" wrapText="1"/>
    </xf>
    <xf borderId="0" fillId="0" fontId="21" numFmtId="0" xfId="0" applyAlignment="1" applyFont="1">
      <alignment readingOrder="0" shrinkToFit="0" vertical="bottom" wrapText="1"/>
    </xf>
    <xf borderId="0" fillId="2" fontId="22" numFmtId="0" xfId="0" applyAlignment="1" applyFont="1">
      <alignment readingOrder="0" shrinkToFit="0" wrapText="1"/>
    </xf>
    <xf borderId="0" fillId="2" fontId="23" numFmtId="0" xfId="0" applyAlignment="1" applyFont="1">
      <alignment readingOrder="0" shrinkToFit="0" wrapText="1"/>
    </xf>
    <xf borderId="0" fillId="0" fontId="1" numFmtId="0" xfId="0" applyAlignment="1" applyFont="1">
      <alignment horizontal="right" shrinkToFit="0" wrapText="1"/>
    </xf>
    <xf borderId="0" fillId="0" fontId="17" numFmtId="0" xfId="0" applyAlignment="1" applyFont="1">
      <alignment readingOrder="0" shrinkToFit="0" wrapText="1"/>
    </xf>
    <xf borderId="0" fillId="0" fontId="6" numFmtId="0" xfId="0" applyAlignment="1" applyFont="1">
      <alignment horizontal="right" readingOrder="0" shrinkToFit="0" vertical="bottom" wrapText="1"/>
    </xf>
    <xf borderId="0" fillId="0" fontId="24" numFmtId="0" xfId="0" applyAlignment="1" applyFont="1">
      <alignment readingOrder="0" shrinkToFit="0" wrapText="1"/>
    </xf>
    <xf borderId="0" fillId="2" fontId="25" numFmtId="0" xfId="0" applyAlignment="1" applyFont="1">
      <alignment horizontal="left" readingOrder="0" shrinkToFit="0" wrapText="1"/>
    </xf>
    <xf borderId="0" fillId="2" fontId="16" numFmtId="0" xfId="0" applyAlignment="1" applyFont="1">
      <alignment horizontal="right" readingOrder="0" shrinkToFit="0" wrapText="1"/>
    </xf>
    <xf borderId="0" fillId="0" fontId="26" numFmtId="0" xfId="0" applyAlignment="1" applyFont="1">
      <alignment readingOrder="0" shrinkToFit="0" wrapText="1"/>
    </xf>
    <xf borderId="0" fillId="0" fontId="26" numFmtId="0" xfId="0" applyAlignment="1" applyFont="1">
      <alignment shrinkToFit="0" wrapText="1"/>
    </xf>
    <xf borderId="0" fillId="0" fontId="17" numFmtId="0" xfId="0" applyAlignment="1" applyFont="1">
      <alignment shrinkToFit="0" vertical="bottom" wrapText="1"/>
    </xf>
    <xf borderId="0" fillId="0" fontId="17" numFmtId="0" xfId="0" applyAlignment="1" applyFont="1">
      <alignment shrinkToFit="0" vertical="bottom" wrapText="1"/>
    </xf>
    <xf borderId="0" fillId="0" fontId="17" numFmtId="0" xfId="0" applyAlignment="1" applyFont="1">
      <alignment horizontal="right" shrinkToFit="0" vertical="bottom" wrapText="1"/>
    </xf>
    <xf borderId="0" fillId="0" fontId="17" numFmtId="0" xfId="0" applyAlignment="1" applyFont="1">
      <alignment readingOrder="0" shrinkToFit="0" vertical="bottom" wrapText="1"/>
    </xf>
    <xf borderId="0" fillId="0" fontId="27" numFmtId="0" xfId="0" applyAlignment="1" applyFont="1">
      <alignment readingOrder="0" shrinkToFit="0" wrapText="1"/>
    </xf>
    <xf borderId="0" fillId="2" fontId="16" numFmtId="0" xfId="0" applyAlignment="1" applyFont="1">
      <alignment horizontal="right" readingOrder="0" shrinkToFit="0" wrapText="1"/>
    </xf>
    <xf borderId="0" fillId="0" fontId="1" numFmtId="0" xfId="0" applyAlignment="1" applyFont="1">
      <alignment horizontal="right" shrinkToFit="0" vertical="bottom" wrapText="1"/>
    </xf>
    <xf borderId="0" fillId="0" fontId="17" numFmtId="0" xfId="0" applyAlignment="1" applyFont="1">
      <alignment readingOrder="0" shrinkToFit="0" wrapText="1"/>
    </xf>
    <xf borderId="0" fillId="0" fontId="28" numFmtId="0" xfId="0" applyAlignment="1" applyFont="1">
      <alignment horizontal="left" readingOrder="0" shrinkToFit="0" wrapText="1"/>
    </xf>
    <xf borderId="0" fillId="2" fontId="17" numFmtId="0" xfId="0" applyAlignment="1" applyFont="1">
      <alignment horizontal="left" readingOrder="0" shrinkToFit="0" wrapText="1"/>
    </xf>
    <xf borderId="0" fillId="0" fontId="28" numFmtId="0" xfId="0" applyAlignment="1" applyFont="1">
      <alignment readingOrder="0" shrinkToFit="0" wrapText="1"/>
    </xf>
    <xf borderId="0" fillId="0" fontId="4" numFmtId="0" xfId="0" applyAlignment="1" applyFont="1">
      <alignment horizontal="left" readingOrder="0" shrinkToFit="0" vertical="bottom" wrapText="1"/>
    </xf>
    <xf borderId="0" fillId="0" fontId="17" numFmtId="0" xfId="0" applyAlignment="1" applyFont="1">
      <alignment horizontal="right" readingOrder="0" shrinkToFit="0" vertical="bottom" wrapText="1"/>
    </xf>
    <xf borderId="0" fillId="0" fontId="21" numFmtId="0" xfId="0" applyAlignment="1" applyFont="1">
      <alignment shrinkToFit="0" vertical="bottom" wrapText="1"/>
    </xf>
    <xf borderId="0" fillId="0" fontId="1" numFmtId="0" xfId="0" applyAlignment="1" applyFont="1">
      <alignment readingOrder="0" shrinkToFit="0" wrapText="1"/>
    </xf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20" Type="http://schemas.openxmlformats.org/officeDocument/2006/relationships/hyperlink" Target="https://historiamujeres.es/mujerm.html" TargetMode="External"/><Relationship Id="rId22" Type="http://schemas.openxmlformats.org/officeDocument/2006/relationships/hyperlink" Target="https://historiamujeres.es/vidas/montenegro-maria-antonia.html" TargetMode="External"/><Relationship Id="rId21" Type="http://schemas.openxmlformats.org/officeDocument/2006/relationships/hyperlink" Target="https://historiamujeres.es/mujerm.html" TargetMode="External"/><Relationship Id="rId24" Type="http://schemas.openxmlformats.org/officeDocument/2006/relationships/hyperlink" Target="https://historiamujeres.es/mujerp.html" TargetMode="External"/><Relationship Id="rId23" Type="http://schemas.openxmlformats.org/officeDocument/2006/relationships/hyperlink" Target="https://historiamujeres.es/vidas/munoz-ernestina.html" TargetMode="External"/><Relationship Id="rId1" Type="http://schemas.openxmlformats.org/officeDocument/2006/relationships/hyperlink" Target="https://historiamujeres.es/vidas/Beauvoir_Simone-de.html" TargetMode="External"/><Relationship Id="rId2" Type="http://schemas.openxmlformats.org/officeDocument/2006/relationships/hyperlink" Target="https://historiamujeres.es/vidas/blanco-morales-marcela.html" TargetMode="External"/><Relationship Id="rId3" Type="http://schemas.openxmlformats.org/officeDocument/2006/relationships/hyperlink" Target="https://historiamujeres.es/mujerc.html" TargetMode="External"/><Relationship Id="rId4" Type="http://schemas.openxmlformats.org/officeDocument/2006/relationships/hyperlink" Target="https://historiamujeres.es/vidas/cobos-losua-amantina.html" TargetMode="External"/><Relationship Id="rId9" Type="http://schemas.openxmlformats.org/officeDocument/2006/relationships/hyperlink" Target="https://historiamujeres.es/vidas/enfermeras-bola-azul.html" TargetMode="External"/><Relationship Id="rId26" Type="http://schemas.openxmlformats.org/officeDocument/2006/relationships/hyperlink" Target="https://historiamujeres.es/vidas/rendon-Martel-milagros.html" TargetMode="External"/><Relationship Id="rId25" Type="http://schemas.openxmlformats.org/officeDocument/2006/relationships/hyperlink" Target="https://historiamujeres.es/vidas/rendon-Martel-maria-luisa.html" TargetMode="External"/><Relationship Id="rId28" Type="http://schemas.openxmlformats.org/officeDocument/2006/relationships/hyperlink" Target="https://historiamujeres.es/vidas/petroleo-salvaora.html" TargetMode="External"/><Relationship Id="rId27" Type="http://schemas.openxmlformats.org/officeDocument/2006/relationships/hyperlink" Target="https://historiamujeres.es/vidas/robles_concha.html" TargetMode="External"/><Relationship Id="rId5" Type="http://schemas.openxmlformats.org/officeDocument/2006/relationships/hyperlink" Target="https://historiamujeres.es/vidas/Cornejo-Mariana.html" TargetMode="External"/><Relationship Id="rId6" Type="http://schemas.openxmlformats.org/officeDocument/2006/relationships/hyperlink" Target="https://historiamujeres.es/mujerc.html" TargetMode="External"/><Relationship Id="rId29" Type="http://schemas.openxmlformats.org/officeDocument/2006/relationships/hyperlink" Target="https://historiamujeres.es/vidas/romero-yebra.html" TargetMode="External"/><Relationship Id="rId7" Type="http://schemas.openxmlformats.org/officeDocument/2006/relationships/hyperlink" Target="https://historiamujeres.es/vidas/marfil-la-dama-de.html" TargetMode="External"/><Relationship Id="rId8" Type="http://schemas.openxmlformats.org/officeDocument/2006/relationships/hyperlink" Target="https://historiamujeres.es/vidas/petroleo-salvaora.html" TargetMode="External"/><Relationship Id="rId31" Type="http://schemas.openxmlformats.org/officeDocument/2006/relationships/hyperlink" Target="https://historiamujeres.es/mujers.html" TargetMode="External"/><Relationship Id="rId30" Type="http://schemas.openxmlformats.org/officeDocument/2006/relationships/hyperlink" Target="https://historiamujeres.es/vidas/Rubio-Arguelles.html" TargetMode="External"/><Relationship Id="rId11" Type="http://schemas.openxmlformats.org/officeDocument/2006/relationships/hyperlink" Target="https://historiamujeres.es/mujerg.html" TargetMode="External"/><Relationship Id="rId33" Type="http://schemas.openxmlformats.org/officeDocument/2006/relationships/drawing" Target="../drawings/drawing1.xml"/><Relationship Id="rId10" Type="http://schemas.openxmlformats.org/officeDocument/2006/relationships/hyperlink" Target="https://historiamujeres.es/vidas/flores-lola.html" TargetMode="External"/><Relationship Id="rId32" Type="http://schemas.openxmlformats.org/officeDocument/2006/relationships/hyperlink" Target="https://historiamujeres.es/mujerv.html" TargetMode="External"/><Relationship Id="rId13" Type="http://schemas.openxmlformats.org/officeDocument/2006/relationships/hyperlink" Target="https://historiamujeres.es/vidas/Gatell-comas.html" TargetMode="External"/><Relationship Id="rId12" Type="http://schemas.openxmlformats.org/officeDocument/2006/relationships/hyperlink" Target="https://historiamujeres.es/vidas/garbin-alonso-anita.html" TargetMode="External"/><Relationship Id="rId15" Type="http://schemas.openxmlformats.org/officeDocument/2006/relationships/hyperlink" Target="https://historiamujeres.es/mujerg.html" TargetMode="External"/><Relationship Id="rId14" Type="http://schemas.openxmlformats.org/officeDocument/2006/relationships/hyperlink" Target="https://historiamujeres.es/vidas/Gessler-Shaw.html" TargetMode="External"/><Relationship Id="rId17" Type="http://schemas.openxmlformats.org/officeDocument/2006/relationships/hyperlink" Target="https://historiamujeres.es/vidas/landa_vaz-matilde.html" TargetMode="External"/><Relationship Id="rId16" Type="http://schemas.openxmlformats.org/officeDocument/2006/relationships/hyperlink" Target="https://historiamujeres.es/vidas/HERBIL-eloisa-d.html" TargetMode="External"/><Relationship Id="rId19" Type="http://schemas.openxmlformats.org/officeDocument/2006/relationships/hyperlink" Target="https://historiamujeres.es/vidas/Estrada-Maria_de.html" TargetMode="External"/><Relationship Id="rId18" Type="http://schemas.openxmlformats.org/officeDocument/2006/relationships/hyperlink" Target="https://historiamujeres.es/vidas/llovet-munoz.html" TargetMode="Externa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>
      <pane ySplit="1.0" topLeftCell="A2" activePane="bottomLeft" state="frozen"/>
      <selection activeCell="B3" sqref="B3" pane="bottomLeft"/>
    </sheetView>
  </sheetViews>
  <sheetFormatPr customHeight="1" defaultColWidth="12.63" defaultRowHeight="12.75"/>
  <cols>
    <col customWidth="1" min="1" max="1" width="43.88"/>
    <col customWidth="1" min="2" max="2" width="17.38"/>
    <col customWidth="1" min="3" max="3" width="15.13"/>
    <col customWidth="1" min="4" max="5" width="14.25"/>
    <col customWidth="1" min="6" max="6" width="4.88"/>
    <col customWidth="1" min="7" max="7" width="3.25"/>
    <col customWidth="1" min="8" max="8" width="5.38"/>
    <col customWidth="1" min="9" max="9" width="5.5"/>
    <col customWidth="1" min="10" max="10" width="19.0"/>
    <col customWidth="1" min="11" max="11" width="15.63"/>
    <col customWidth="1" min="12" max="12" width="15.38"/>
    <col customWidth="1" min="13" max="13" width="34.75"/>
  </cols>
  <sheetData>
    <row r="1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2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3" t="s">
        <v>10</v>
      </c>
      <c r="M1" s="1" t="s">
        <v>11</v>
      </c>
    </row>
    <row r="2">
      <c r="A2" s="4" t="str">
        <f>hyperlink("http://historiamujeres.es/mujera.html#Abrucena","Abrucena, Mujeres de")</f>
        <v>Abrucena, Mujeres de</v>
      </c>
      <c r="B2" s="1" t="s">
        <v>12</v>
      </c>
      <c r="C2" s="1" t="s">
        <v>13</v>
      </c>
      <c r="D2" s="1" t="s">
        <v>12</v>
      </c>
      <c r="E2" s="1" t="s">
        <v>12</v>
      </c>
      <c r="F2" s="2">
        <v>1889.0</v>
      </c>
      <c r="G2" s="1" t="s">
        <v>12</v>
      </c>
      <c r="H2" s="1" t="s">
        <v>12</v>
      </c>
      <c r="I2" s="1">
        <v>2003.0</v>
      </c>
      <c r="J2" s="1" t="s">
        <v>14</v>
      </c>
      <c r="K2" s="1" t="s">
        <v>15</v>
      </c>
      <c r="L2" s="3" t="s">
        <v>12</v>
      </c>
      <c r="M2" s="1" t="s">
        <v>12</v>
      </c>
    </row>
    <row r="3">
      <c r="A3" s="4" t="str">
        <f>hyperlink("http://historiamujeres.es/mujera.html#Abuela","Abuela de familia jornaleral")</f>
        <v>Abuela de familia jornaleral</v>
      </c>
      <c r="B3" s="1" t="s">
        <v>12</v>
      </c>
      <c r="C3" s="1" t="s">
        <v>16</v>
      </c>
      <c r="D3" s="1" t="s">
        <v>12</v>
      </c>
      <c r="E3" s="1" t="s">
        <v>12</v>
      </c>
      <c r="F3" s="5">
        <v>1875.0</v>
      </c>
      <c r="G3" s="6" t="s">
        <v>17</v>
      </c>
      <c r="H3" s="1" t="s">
        <v>12</v>
      </c>
      <c r="I3" s="1" t="s">
        <v>12</v>
      </c>
      <c r="J3" s="1" t="s">
        <v>18</v>
      </c>
      <c r="K3" s="1" t="s">
        <v>19</v>
      </c>
      <c r="L3" s="3" t="s">
        <v>12</v>
      </c>
      <c r="M3" s="1" t="s">
        <v>20</v>
      </c>
    </row>
    <row r="4">
      <c r="A4" s="4" t="str">
        <f>hyperlink("http://www.historiamujeres.es/mujera.html#Academicas_Hi","Académicas correspondientes de la Real Academia de la Historia")</f>
        <v>Académicas correspondientes de la Real Academia de la Historia</v>
      </c>
      <c r="B4" s="1" t="s">
        <v>12</v>
      </c>
      <c r="C4" s="1" t="s">
        <v>21</v>
      </c>
      <c r="D4" s="1" t="s">
        <v>12</v>
      </c>
      <c r="E4" s="1" t="s">
        <v>12</v>
      </c>
      <c r="F4" s="5">
        <v>1930.0</v>
      </c>
      <c r="G4" s="6" t="s">
        <v>17</v>
      </c>
      <c r="H4" s="1" t="s">
        <v>12</v>
      </c>
      <c r="I4" s="1">
        <v>2007.0</v>
      </c>
      <c r="J4" s="1" t="s">
        <v>22</v>
      </c>
      <c r="K4" s="1" t="s">
        <v>15</v>
      </c>
      <c r="L4" s="3" t="s">
        <v>12</v>
      </c>
      <c r="M4" s="1" t="s">
        <v>23</v>
      </c>
    </row>
    <row r="5">
      <c r="A5" s="4" t="str">
        <f>hyperlink("http://historiamujeres.es/mujera.html#Accion","Acción Católica de la Mujer, Córdoba. Revista de")</f>
        <v>Acción Católica de la Mujer, Córdoba. Revista de</v>
      </c>
      <c r="B5" s="1" t="s">
        <v>12</v>
      </c>
      <c r="C5" s="1" t="s">
        <v>24</v>
      </c>
      <c r="D5" s="1" t="s">
        <v>24</v>
      </c>
      <c r="E5" s="1" t="s">
        <v>12</v>
      </c>
      <c r="F5" s="2">
        <v>1922.0</v>
      </c>
      <c r="G5" s="1" t="s">
        <v>12</v>
      </c>
      <c r="H5" s="1">
        <v>1933.0</v>
      </c>
      <c r="I5" s="1" t="s">
        <v>12</v>
      </c>
      <c r="J5" s="1" t="s">
        <v>25</v>
      </c>
      <c r="K5" s="1" t="s">
        <v>12</v>
      </c>
      <c r="L5" s="3" t="s">
        <v>12</v>
      </c>
      <c r="M5" s="1" t="s">
        <v>12</v>
      </c>
    </row>
    <row r="6">
      <c r="A6" s="7" t="str">
        <f>hyperlink("http://historiamujeres.es/mujera.html#Acosta_Mar","Acosta Martínez, Pilar")</f>
        <v>Acosta Martínez, Pilar</v>
      </c>
      <c r="B6" s="1" t="s">
        <v>12</v>
      </c>
      <c r="C6" s="8" t="s">
        <v>26</v>
      </c>
      <c r="D6" s="8" t="s">
        <v>27</v>
      </c>
      <c r="E6" s="1" t="s">
        <v>12</v>
      </c>
      <c r="F6" s="9">
        <v>1938.0</v>
      </c>
      <c r="G6" s="1" t="s">
        <v>12</v>
      </c>
      <c r="H6" s="9">
        <v>2006.0</v>
      </c>
      <c r="I6" s="1" t="s">
        <v>12</v>
      </c>
      <c r="J6" s="9" t="s">
        <v>28</v>
      </c>
      <c r="K6" s="9" t="s">
        <v>29</v>
      </c>
      <c r="L6" s="3" t="s">
        <v>12</v>
      </c>
      <c r="M6" s="1"/>
    </row>
    <row r="7">
      <c r="A7" s="4" t="str">
        <f>hyperlink("http://www.historiamujeres.es/mujera.html#Acosta","Acosta, Teresa de y González")</f>
        <v>Acosta, Teresa de y González</v>
      </c>
      <c r="B7" s="1" t="s">
        <v>12</v>
      </c>
      <c r="C7" s="1" t="s">
        <v>12</v>
      </c>
      <c r="D7" s="1" t="s">
        <v>30</v>
      </c>
      <c r="E7" s="1" t="s">
        <v>12</v>
      </c>
      <c r="F7" s="8">
        <v>1777.0</v>
      </c>
      <c r="G7" s="10" t="s">
        <v>12</v>
      </c>
      <c r="H7" s="1">
        <v>1852.0</v>
      </c>
      <c r="I7" s="1" t="s">
        <v>12</v>
      </c>
      <c r="J7" s="1" t="s">
        <v>31</v>
      </c>
      <c r="K7" s="1" t="s">
        <v>12</v>
      </c>
      <c r="L7" s="3" t="s">
        <v>12</v>
      </c>
      <c r="M7" s="1" t="s">
        <v>32</v>
      </c>
    </row>
    <row r="8">
      <c r="A8" s="4" t="str">
        <f>hyperlink("http://www.historiamujeres.es/mujera.html#Adame","Adame Hens, Francisca")</f>
        <v>Adame Hens, Francisca</v>
      </c>
      <c r="B8" s="1" t="s">
        <v>12</v>
      </c>
      <c r="C8" s="1" t="s">
        <v>33</v>
      </c>
      <c r="D8" s="1" t="s">
        <v>12</v>
      </c>
      <c r="E8" s="1" t="s">
        <v>12</v>
      </c>
      <c r="F8" s="2">
        <v>1921.0</v>
      </c>
      <c r="G8" s="1" t="s">
        <v>12</v>
      </c>
      <c r="H8" s="1" t="s">
        <v>12</v>
      </c>
      <c r="I8" s="1" t="s">
        <v>12</v>
      </c>
      <c r="J8" s="1" t="s">
        <v>34</v>
      </c>
      <c r="K8" s="1" t="s">
        <v>35</v>
      </c>
      <c r="L8" s="3" t="s">
        <v>12</v>
      </c>
      <c r="M8" s="1" t="s">
        <v>36</v>
      </c>
    </row>
    <row r="9">
      <c r="A9" s="7" t="str">
        <f>hyperlink("http://historiamujeres.es/mujera.html#Adame","Adame Hens, Francisca")</f>
        <v>Adame Hens, Francisca</v>
      </c>
      <c r="B9" s="1" t="s">
        <v>12</v>
      </c>
      <c r="C9" s="9" t="s">
        <v>33</v>
      </c>
      <c r="D9" s="1" t="s">
        <v>12</v>
      </c>
      <c r="E9" s="1" t="s">
        <v>12</v>
      </c>
      <c r="F9" s="9">
        <v>1922.0</v>
      </c>
      <c r="G9" s="1" t="s">
        <v>12</v>
      </c>
      <c r="H9" s="8"/>
      <c r="I9" s="1" t="s">
        <v>12</v>
      </c>
      <c r="J9" s="9" t="s">
        <v>37</v>
      </c>
      <c r="K9" s="9" t="s">
        <v>38</v>
      </c>
      <c r="L9" s="3" t="s">
        <v>12</v>
      </c>
    </row>
    <row r="10">
      <c r="A10" s="4" t="str">
        <f>hyperlink("http://www.historiamujeres.es/mujera.html#Adonis","Adonis, Devotas de")</f>
        <v>Adonis, Devotas de</v>
      </c>
      <c r="B10" s="1" t="s">
        <v>12</v>
      </c>
      <c r="C10" s="1" t="s">
        <v>27</v>
      </c>
      <c r="D10" s="1" t="s">
        <v>12</v>
      </c>
      <c r="E10" s="1" t="s">
        <v>12</v>
      </c>
      <c r="F10" s="5">
        <v>250.0</v>
      </c>
      <c r="G10" s="6" t="s">
        <v>17</v>
      </c>
      <c r="H10" s="1" t="s">
        <v>12</v>
      </c>
      <c r="I10" s="1">
        <v>287.0</v>
      </c>
      <c r="J10" s="1" t="s">
        <v>39</v>
      </c>
      <c r="K10" s="1" t="s">
        <v>12</v>
      </c>
      <c r="L10" s="3" t="s">
        <v>12</v>
      </c>
      <c r="M10" s="1" t="s">
        <v>40</v>
      </c>
    </row>
    <row r="11">
      <c r="A11" s="4" t="str">
        <f>hyperlink("http://historiamujeres.es/mujera.html#Adra","Adra en la época del Alto Imperio Romano, Mujeres de")</f>
        <v>Adra en la época del Alto Imperio Romano, Mujeres de</v>
      </c>
      <c r="B11" s="1" t="s">
        <v>12</v>
      </c>
      <c r="C11" s="1" t="s">
        <v>41</v>
      </c>
      <c r="D11" s="1" t="s">
        <v>42</v>
      </c>
      <c r="E11" s="1" t="s">
        <v>12</v>
      </c>
      <c r="F11" s="5">
        <v>30.0</v>
      </c>
      <c r="G11" s="6" t="s">
        <v>43</v>
      </c>
      <c r="H11" s="6">
        <v>200.0</v>
      </c>
      <c r="J11" s="1" t="s">
        <v>14</v>
      </c>
      <c r="K11" s="1" t="s">
        <v>44</v>
      </c>
      <c r="L11" s="3"/>
      <c r="M11" s="1" t="s">
        <v>12</v>
      </c>
    </row>
    <row r="12">
      <c r="A12" s="11" t="str">
        <f>hyperlink("http://historiamujeres.es/mujera.html#Afal","AFAL, Mujeres en la revista de fotografía")</f>
        <v>AFAL, Mujeres en la revista de fotografía</v>
      </c>
      <c r="B12" s="9" t="s">
        <v>12</v>
      </c>
      <c r="C12" s="9" t="s">
        <v>45</v>
      </c>
      <c r="D12" s="9" t="s">
        <v>12</v>
      </c>
      <c r="E12" s="9" t="s">
        <v>26</v>
      </c>
      <c r="F12" s="12">
        <v>1920.0</v>
      </c>
      <c r="G12" s="13" t="s">
        <v>43</v>
      </c>
      <c r="H12" s="13" t="s">
        <v>12</v>
      </c>
      <c r="I12" s="9">
        <v>1956.0</v>
      </c>
      <c r="J12" s="9" t="s">
        <v>46</v>
      </c>
      <c r="K12" s="9" t="s">
        <v>47</v>
      </c>
      <c r="L12" s="14" t="s">
        <v>12</v>
      </c>
      <c r="M12" s="1"/>
    </row>
    <row r="13">
      <c r="A13" s="4" t="str">
        <f>hyperlink("http://www.historiamujeres.es/mujera.html#Agapet","Agapetas")</f>
        <v>Agapetas</v>
      </c>
      <c r="B13" s="1" t="s">
        <v>12</v>
      </c>
      <c r="C13" s="1" t="s">
        <v>21</v>
      </c>
      <c r="D13" s="1" t="s">
        <v>12</v>
      </c>
      <c r="E13" s="1" t="s">
        <v>12</v>
      </c>
      <c r="F13" s="5">
        <v>1550.0</v>
      </c>
      <c r="G13" s="6" t="s">
        <v>17</v>
      </c>
      <c r="H13" s="1" t="s">
        <v>12</v>
      </c>
      <c r="I13" s="1" t="s">
        <v>12</v>
      </c>
      <c r="J13" s="1" t="s">
        <v>48</v>
      </c>
      <c r="K13" s="1" t="s">
        <v>12</v>
      </c>
      <c r="L13" s="3" t="s">
        <v>12</v>
      </c>
      <c r="M13" s="1" t="s">
        <v>49</v>
      </c>
    </row>
    <row r="14">
      <c r="A14" s="7" t="str">
        <f>hyperlink("http://historiamujeres.es/mujera.html#Agredano","Agredano González, Carmen")</f>
        <v>Agredano González, Carmen</v>
      </c>
      <c r="B14" s="9" t="s">
        <v>12</v>
      </c>
      <c r="C14" s="9" t="s">
        <v>50</v>
      </c>
      <c r="D14" s="9" t="s">
        <v>12</v>
      </c>
      <c r="E14" s="9" t="s">
        <v>12</v>
      </c>
      <c r="F14" s="15">
        <v>1956.0</v>
      </c>
      <c r="G14" s="9" t="s">
        <v>12</v>
      </c>
      <c r="H14" s="9" t="s">
        <v>12</v>
      </c>
      <c r="I14" s="9">
        <v>2012.0</v>
      </c>
      <c r="J14" s="9" t="s">
        <v>51</v>
      </c>
      <c r="K14" s="9" t="s">
        <v>52</v>
      </c>
      <c r="L14" s="14" t="s">
        <v>53</v>
      </c>
      <c r="M14" s="9" t="s">
        <v>54</v>
      </c>
    </row>
    <row r="15">
      <c r="A15" s="4" t="str">
        <f>hyperlink("http://historiamujeres.es/mujera.html#Agrupacion_Femenina","Agrupación Femenina Antifascista de Almería")</f>
        <v>Agrupación Femenina Antifascista de Almería</v>
      </c>
      <c r="B15" s="1" t="s">
        <v>12</v>
      </c>
      <c r="C15" s="1" t="s">
        <v>26</v>
      </c>
      <c r="D15" s="1" t="s">
        <v>26</v>
      </c>
      <c r="E15" s="1" t="s">
        <v>12</v>
      </c>
      <c r="F15" s="16">
        <v>1937.0</v>
      </c>
      <c r="G15" s="17" t="s">
        <v>12</v>
      </c>
      <c r="H15" s="1">
        <v>1939.0</v>
      </c>
      <c r="I15" s="1" t="s">
        <v>12</v>
      </c>
      <c r="J15" s="1" t="s">
        <v>55</v>
      </c>
      <c r="K15" s="1" t="s">
        <v>56</v>
      </c>
      <c r="L15" s="3" t="s">
        <v>12</v>
      </c>
      <c r="M15" s="1" t="s">
        <v>57</v>
      </c>
    </row>
    <row r="16">
      <c r="A16" s="4" t="str">
        <f>hyperlink("http://www.historiamujeres.es/mujera.html#Aguera","Agüera Espejo-Saavedra, Isabel")</f>
        <v>Agüera Espejo-Saavedra, Isabel</v>
      </c>
      <c r="B16" s="1" t="s">
        <v>12</v>
      </c>
      <c r="C16" s="1" t="s">
        <v>58</v>
      </c>
      <c r="D16" s="1" t="s">
        <v>12</v>
      </c>
      <c r="E16" s="1" t="s">
        <v>12</v>
      </c>
      <c r="F16" s="2">
        <v>1938.0</v>
      </c>
      <c r="G16" s="1" t="s">
        <v>12</v>
      </c>
      <c r="H16" s="1" t="s">
        <v>12</v>
      </c>
      <c r="I16" s="1" t="s">
        <v>12</v>
      </c>
      <c r="J16" s="1" t="s">
        <v>59</v>
      </c>
      <c r="K16" s="1" t="s">
        <v>60</v>
      </c>
      <c r="L16" s="3" t="s">
        <v>12</v>
      </c>
      <c r="M16" s="1" t="s">
        <v>12</v>
      </c>
    </row>
    <row r="17">
      <c r="A17" s="4" t="str">
        <f>hyperlink("http://www.historiamujeres.es/mujera.html#Aguilar","Aguilar Rivero, Rosa")</f>
        <v>Aguilar Rivero, Rosa</v>
      </c>
      <c r="B17" s="1" t="s">
        <v>61</v>
      </c>
      <c r="C17" s="1" t="s">
        <v>24</v>
      </c>
      <c r="D17" s="1" t="s">
        <v>12</v>
      </c>
      <c r="E17" s="1" t="s">
        <v>12</v>
      </c>
      <c r="F17" s="2">
        <v>1957.0</v>
      </c>
      <c r="G17" s="1" t="s">
        <v>12</v>
      </c>
      <c r="H17" s="1" t="s">
        <v>12</v>
      </c>
      <c r="I17" s="1" t="s">
        <v>12</v>
      </c>
      <c r="J17" s="1" t="s">
        <v>62</v>
      </c>
      <c r="K17" s="1" t="s">
        <v>63</v>
      </c>
      <c r="L17" s="3" t="s">
        <v>12</v>
      </c>
      <c r="M17" s="1" t="s">
        <v>12</v>
      </c>
    </row>
    <row r="18">
      <c r="A18" s="4" t="str">
        <f>hyperlink("http://www.historiamujeres.es/mujera.html#Aguilera","Aguilera de Roldán, Francisca")</f>
        <v>Aguilera de Roldán, Francisca</v>
      </c>
      <c r="B18" s="1" t="s">
        <v>12</v>
      </c>
      <c r="C18" s="1" t="s">
        <v>64</v>
      </c>
      <c r="D18" s="1" t="s">
        <v>12</v>
      </c>
      <c r="E18" s="1" t="s">
        <v>12</v>
      </c>
      <c r="F18" s="5">
        <v>1840.0</v>
      </c>
      <c r="G18" s="6" t="s">
        <v>17</v>
      </c>
      <c r="H18" s="1" t="s">
        <v>12</v>
      </c>
      <c r="I18" s="1" t="s">
        <v>12</v>
      </c>
      <c r="J18" s="1" t="s">
        <v>65</v>
      </c>
      <c r="K18" s="1" t="s">
        <v>12</v>
      </c>
      <c r="L18" s="3" t="s">
        <v>12</v>
      </c>
      <c r="M18" s="1" t="s">
        <v>12</v>
      </c>
    </row>
    <row r="19">
      <c r="A19" s="4" t="str">
        <f>hyperlink("http://historiamujeres.es/mujerp.html#Paca","Aguilera Domínguez, Francisca")</f>
        <v>Aguilera Domínguez, Francisca</v>
      </c>
      <c r="B19" s="1" t="s">
        <v>66</v>
      </c>
      <c r="C19" s="1" t="s">
        <v>67</v>
      </c>
      <c r="D19" s="1" t="s">
        <v>68</v>
      </c>
      <c r="E19" s="1" t="s">
        <v>12</v>
      </c>
      <c r="F19" s="2">
        <v>1867.0</v>
      </c>
      <c r="G19" s="1" t="s">
        <v>12</v>
      </c>
      <c r="H19" s="1">
        <v>1913.0</v>
      </c>
      <c r="I19" s="1" t="s">
        <v>12</v>
      </c>
      <c r="J19" s="1" t="s">
        <v>69</v>
      </c>
      <c r="K19" s="1" t="s">
        <v>12</v>
      </c>
      <c r="L19" s="3" t="s">
        <v>12</v>
      </c>
      <c r="M19" s="1" t="s">
        <v>12</v>
      </c>
    </row>
    <row r="20">
      <c r="A20" s="4" t="str">
        <f>hyperlink("http://www.historiamujeres.es/mujera.html#AIsa","Ai’sa Bint Ahmad ... Alqurtubiyya")</f>
        <v>Ai’sa Bint Ahmad ... Alqurtubiyya</v>
      </c>
      <c r="B20" s="1" t="s">
        <v>12</v>
      </c>
      <c r="C20" s="1" t="s">
        <v>24</v>
      </c>
      <c r="D20" s="1" t="s">
        <v>12</v>
      </c>
      <c r="E20" s="1" t="s">
        <v>12</v>
      </c>
      <c r="F20" s="2" t="s">
        <v>12</v>
      </c>
      <c r="G20" s="1" t="s">
        <v>12</v>
      </c>
      <c r="H20" s="18">
        <v>1009.0</v>
      </c>
      <c r="I20" s="1" t="s">
        <v>12</v>
      </c>
      <c r="J20" s="1" t="s">
        <v>70</v>
      </c>
      <c r="K20" s="1" t="s">
        <v>71</v>
      </c>
      <c r="L20" s="3" t="s">
        <v>12</v>
      </c>
      <c r="M20" s="1" t="s">
        <v>72</v>
      </c>
    </row>
    <row r="21">
      <c r="A21" s="4" t="str">
        <f>hyperlink("http://www.historiamujeres.es/mujera.html#AixaTo","Aixa Bint Ahmed Ahor Tobiya")</f>
        <v>Aixa Bint Ahmed Ahor Tobiya</v>
      </c>
      <c r="B21" s="1" t="s">
        <v>12</v>
      </c>
      <c r="C21" s="1" t="s">
        <v>24</v>
      </c>
      <c r="D21" s="1" t="s">
        <v>12</v>
      </c>
      <c r="E21" s="1" t="s">
        <v>12</v>
      </c>
      <c r="F21" s="5">
        <v>940.0</v>
      </c>
      <c r="G21" s="6" t="s">
        <v>17</v>
      </c>
      <c r="H21" s="1" t="s">
        <v>12</v>
      </c>
      <c r="I21" s="1" t="s">
        <v>12</v>
      </c>
      <c r="J21" s="1" t="s">
        <v>73</v>
      </c>
      <c r="K21" s="1" t="s">
        <v>12</v>
      </c>
      <c r="L21" s="3" t="s">
        <v>12</v>
      </c>
      <c r="M21" s="1" t="s">
        <v>72</v>
      </c>
    </row>
    <row r="22">
      <c r="A22" s="4" t="str">
        <f>hyperlink("http://www.historiamujeres.es/mujera.html#AixaAhmar","Aixa Bint Muhammad Aben al Ahmar")</f>
        <v>Aixa Bint Muhammad Aben al Ahmar</v>
      </c>
      <c r="B22" s="1" t="s">
        <v>12</v>
      </c>
      <c r="C22" s="1" t="s">
        <v>30</v>
      </c>
      <c r="D22" s="1" t="s">
        <v>74</v>
      </c>
      <c r="E22" s="1" t="s">
        <v>12</v>
      </c>
      <c r="F22" s="5">
        <v>1440.0</v>
      </c>
      <c r="G22" s="6" t="s">
        <v>17</v>
      </c>
      <c r="H22" s="1" t="s">
        <v>12</v>
      </c>
      <c r="I22" s="1">
        <v>1492.0</v>
      </c>
      <c r="J22" s="1" t="s">
        <v>75</v>
      </c>
      <c r="K22" s="1" t="s">
        <v>12</v>
      </c>
      <c r="L22" s="3" t="s">
        <v>12</v>
      </c>
      <c r="M22" s="1" t="s">
        <v>72</v>
      </c>
    </row>
    <row r="23">
      <c r="A23" s="7" t="str">
        <f>hyperlink("http://historiamujeres.es/mujera.html#Andalus","al-Andalus: Algunas referencias en Internet, Mujer en")</f>
        <v>al-Andalus: Algunas referencias en Internet, Mujer en</v>
      </c>
      <c r="B23" s="9" t="s">
        <v>12</v>
      </c>
      <c r="C23" s="9" t="s">
        <v>76</v>
      </c>
      <c r="D23" s="9" t="s">
        <v>12</v>
      </c>
      <c r="E23" s="9" t="s">
        <v>12</v>
      </c>
      <c r="F23" s="12">
        <v>711.0</v>
      </c>
      <c r="G23" s="13" t="s">
        <v>43</v>
      </c>
      <c r="H23" s="13">
        <v>1609.0</v>
      </c>
      <c r="I23" s="9" t="s">
        <v>12</v>
      </c>
      <c r="J23" s="9" t="s">
        <v>14</v>
      </c>
      <c r="K23" s="9" t="s">
        <v>12</v>
      </c>
      <c r="L23" s="19" t="s">
        <v>12</v>
      </c>
      <c r="M23" s="9" t="s">
        <v>12</v>
      </c>
    </row>
    <row r="24">
      <c r="A24" s="4" t="str">
        <f>hyperlink("http://www.historiamujeres.es/mujera.html#Al-Calaiyya","Al-Calaiyya")</f>
        <v>Al-Calaiyya</v>
      </c>
      <c r="B24" s="1" t="s">
        <v>12</v>
      </c>
      <c r="C24" s="1" t="s">
        <v>12</v>
      </c>
      <c r="D24" s="1" t="s">
        <v>12</v>
      </c>
      <c r="E24" s="1" t="s">
        <v>26</v>
      </c>
      <c r="F24" s="5">
        <v>1001.0</v>
      </c>
      <c r="G24" s="6" t="s">
        <v>17</v>
      </c>
      <c r="H24" s="1" t="s">
        <v>12</v>
      </c>
      <c r="I24" s="1" t="s">
        <v>12</v>
      </c>
      <c r="J24" s="1" t="s">
        <v>73</v>
      </c>
      <c r="K24" s="1" t="s">
        <v>12</v>
      </c>
      <c r="L24" s="3" t="s">
        <v>12</v>
      </c>
      <c r="M24" s="1" t="s">
        <v>72</v>
      </c>
    </row>
    <row r="25">
      <c r="A25" s="4" t="str">
        <f>hyperlink("http://www.historiamujeres.es/mujera.html#Al-Gassani","Al-Gassani")</f>
        <v>Al-Gassani</v>
      </c>
      <c r="B25" s="1" t="s">
        <v>12</v>
      </c>
      <c r="C25" s="1" t="s">
        <v>12</v>
      </c>
      <c r="D25" s="1" t="s">
        <v>12</v>
      </c>
      <c r="E25" s="1" t="s">
        <v>26</v>
      </c>
      <c r="F25" s="5">
        <v>1001.0</v>
      </c>
      <c r="G25" s="6" t="s">
        <v>17</v>
      </c>
      <c r="H25" s="1" t="s">
        <v>12</v>
      </c>
      <c r="I25" s="1" t="s">
        <v>12</v>
      </c>
      <c r="J25" s="1" t="s">
        <v>73</v>
      </c>
      <c r="K25" s="1" t="s">
        <v>12</v>
      </c>
      <c r="L25" s="3" t="s">
        <v>12</v>
      </c>
      <c r="M25" s="1" t="s">
        <v>72</v>
      </c>
    </row>
    <row r="26">
      <c r="A26" s="4" t="str">
        <f>hyperlink("http://www.historiamujeres.es/mujera.html#Allba","Alba Carranza, María Dolores")</f>
        <v>Alba Carranza, María Dolores</v>
      </c>
      <c r="B26" s="1" t="s">
        <v>12</v>
      </c>
      <c r="C26" s="1" t="s">
        <v>77</v>
      </c>
      <c r="D26" s="1" t="s">
        <v>12</v>
      </c>
      <c r="E26" s="1" t="s">
        <v>12</v>
      </c>
      <c r="F26" s="2">
        <v>1966.0</v>
      </c>
      <c r="G26" s="1" t="s">
        <v>12</v>
      </c>
      <c r="H26" s="1" t="s">
        <v>12</v>
      </c>
      <c r="I26" s="1" t="s">
        <v>12</v>
      </c>
      <c r="J26" s="1" t="s">
        <v>78</v>
      </c>
      <c r="K26" s="1" t="s">
        <v>12</v>
      </c>
      <c r="L26" s="3" t="s">
        <v>12</v>
      </c>
      <c r="M26" s="1" t="s">
        <v>12</v>
      </c>
    </row>
    <row r="27">
      <c r="A27" s="4" t="str">
        <f>hyperlink("http://www.historiamujeres.es/mujera.html#Alberd","Alberdi, Cristina")</f>
        <v>Alberdi, Cristina</v>
      </c>
      <c r="B27" s="9" t="s">
        <v>12</v>
      </c>
      <c r="C27" s="1" t="s">
        <v>79</v>
      </c>
      <c r="D27" s="1" t="s">
        <v>12</v>
      </c>
      <c r="E27" s="1" t="s">
        <v>12</v>
      </c>
      <c r="F27" s="2">
        <v>1946.0</v>
      </c>
      <c r="G27" s="1" t="s">
        <v>12</v>
      </c>
      <c r="H27" s="1" t="s">
        <v>12</v>
      </c>
      <c r="I27" s="1" t="s">
        <v>12</v>
      </c>
      <c r="J27" s="1" t="s">
        <v>80</v>
      </c>
      <c r="K27" s="1" t="s">
        <v>81</v>
      </c>
      <c r="L27" s="3" t="s">
        <v>82</v>
      </c>
      <c r="M27" s="1" t="s">
        <v>12</v>
      </c>
    </row>
    <row r="28">
      <c r="A28" s="4" t="str">
        <f>hyperlink("http://www.historiamujeres.es/mujera.html#Alberola","Alberola, Dolors")</f>
        <v>Alberola, Dolors</v>
      </c>
      <c r="B28" s="1" t="s">
        <v>12</v>
      </c>
      <c r="C28" s="1" t="s">
        <v>83</v>
      </c>
      <c r="D28" s="1" t="s">
        <v>12</v>
      </c>
      <c r="E28" s="1" t="s">
        <v>84</v>
      </c>
      <c r="F28" s="2">
        <v>1952.0</v>
      </c>
      <c r="G28" s="1" t="s">
        <v>12</v>
      </c>
      <c r="H28" s="1" t="s">
        <v>12</v>
      </c>
      <c r="I28" s="1" t="s">
        <v>12</v>
      </c>
      <c r="J28" s="1" t="s">
        <v>60</v>
      </c>
      <c r="K28" s="1" t="s">
        <v>12</v>
      </c>
      <c r="L28" s="3" t="s">
        <v>12</v>
      </c>
      <c r="M28" s="1" t="s">
        <v>12</v>
      </c>
    </row>
    <row r="29">
      <c r="A29" s="4" t="str">
        <f>hyperlink("http://www.historiamujeres.es/mujera.html#Alcaide","Alcaide López, Antonia")</f>
        <v>Alcaide López, Antonia</v>
      </c>
      <c r="B29" s="1" t="s">
        <v>12</v>
      </c>
      <c r="C29" s="1" t="s">
        <v>85</v>
      </c>
      <c r="D29" s="1" t="s">
        <v>12</v>
      </c>
      <c r="E29" s="1" t="s">
        <v>12</v>
      </c>
      <c r="F29" s="2">
        <v>1943.0</v>
      </c>
      <c r="G29" s="1" t="s">
        <v>12</v>
      </c>
      <c r="H29" s="1" t="s">
        <v>12</v>
      </c>
      <c r="I29" s="1" t="s">
        <v>12</v>
      </c>
      <c r="J29" s="1" t="s">
        <v>86</v>
      </c>
      <c r="K29" s="1" t="s">
        <v>35</v>
      </c>
      <c r="L29" s="3" t="s">
        <v>12</v>
      </c>
      <c r="M29" s="1" t="s">
        <v>12</v>
      </c>
    </row>
    <row r="30">
      <c r="A30" s="4" t="str">
        <f>hyperlink("http://www.historiamujeres.es/mujera.html#Alcala","Alcalá de Valle, Campesinas de")</f>
        <v>Alcalá de Valle, Campesinas de</v>
      </c>
      <c r="B30" s="1" t="s">
        <v>12</v>
      </c>
      <c r="C30" s="1" t="s">
        <v>87</v>
      </c>
      <c r="D30" s="1" t="s">
        <v>12</v>
      </c>
      <c r="E30" s="1" t="s">
        <v>12</v>
      </c>
      <c r="F30" s="5">
        <v>1850.0</v>
      </c>
      <c r="G30" s="6" t="s">
        <v>17</v>
      </c>
      <c r="H30" s="1" t="s">
        <v>12</v>
      </c>
      <c r="I30" s="1">
        <v>1904.0</v>
      </c>
      <c r="J30" s="1" t="s">
        <v>88</v>
      </c>
      <c r="K30" s="1" t="s">
        <v>89</v>
      </c>
      <c r="L30" s="3" t="s">
        <v>12</v>
      </c>
      <c r="M30" s="1" t="s">
        <v>12</v>
      </c>
    </row>
    <row r="31">
      <c r="A31" s="11" t="str">
        <f>hyperlink("http://historiamujeres.es/mujera.html#Alferez","Alférez Velasco, Bernarda María")</f>
        <v>Alférez Velasco, Bernarda María</v>
      </c>
      <c r="B31" s="9" t="s">
        <v>12</v>
      </c>
      <c r="C31" s="9" t="s">
        <v>30</v>
      </c>
      <c r="D31" s="9" t="s">
        <v>90</v>
      </c>
      <c r="E31" s="9" t="s">
        <v>91</v>
      </c>
      <c r="F31" s="15">
        <v>1647.0</v>
      </c>
      <c r="G31" s="13" t="s">
        <v>92</v>
      </c>
      <c r="H31" s="13">
        <v>1733.0</v>
      </c>
      <c r="I31" s="9" t="s">
        <v>12</v>
      </c>
      <c r="J31" s="9" t="s">
        <v>93</v>
      </c>
      <c r="K31" s="9" t="s">
        <v>94</v>
      </c>
      <c r="L31" s="14" t="s">
        <v>95</v>
      </c>
      <c r="M31" s="9" t="s">
        <v>96</v>
      </c>
    </row>
    <row r="32">
      <c r="A32" s="4" t="str">
        <f>hyperlink("http://www.historiamujeres.es/mujera.html#Alias_V","Alias Vega,Ana María")</f>
        <v>Alias Vega,Ana María</v>
      </c>
      <c r="B32" s="1" t="s">
        <v>97</v>
      </c>
      <c r="C32" s="1" t="s">
        <v>68</v>
      </c>
      <c r="D32" s="1" t="s">
        <v>12</v>
      </c>
      <c r="E32" s="1" t="s">
        <v>98</v>
      </c>
      <c r="F32" s="2">
        <v>1976.0</v>
      </c>
      <c r="G32" s="1" t="s">
        <v>12</v>
      </c>
      <c r="H32" s="1" t="s">
        <v>12</v>
      </c>
      <c r="I32" s="1" t="s">
        <v>12</v>
      </c>
      <c r="J32" s="1" t="s">
        <v>99</v>
      </c>
      <c r="K32" s="1" t="s">
        <v>12</v>
      </c>
      <c r="L32" s="3" t="s">
        <v>12</v>
      </c>
      <c r="M32" s="1" t="s">
        <v>12</v>
      </c>
    </row>
    <row r="33">
      <c r="A33" s="7" t="str">
        <f>hyperlink("http://historiamujeres.es/mujera.html#Almenara","Almenara Pérez, Milagros")</f>
        <v>Almenara Pérez, Milagros</v>
      </c>
      <c r="B33" s="9" t="s">
        <v>12</v>
      </c>
      <c r="C33" s="20" t="s">
        <v>30</v>
      </c>
      <c r="D33" s="9" t="s">
        <v>100</v>
      </c>
      <c r="E33" s="9" t="s">
        <v>12</v>
      </c>
      <c r="F33" s="12">
        <v>1895.0</v>
      </c>
      <c r="G33" s="13" t="s">
        <v>17</v>
      </c>
      <c r="H33" s="21">
        <v>1936.0</v>
      </c>
      <c r="I33" s="9" t="s">
        <v>12</v>
      </c>
      <c r="J33" s="9" t="s">
        <v>101</v>
      </c>
      <c r="K33" s="9" t="s">
        <v>102</v>
      </c>
      <c r="L33" s="19" t="s">
        <v>103</v>
      </c>
      <c r="M33" s="9" t="s">
        <v>104</v>
      </c>
    </row>
    <row r="34">
      <c r="A34" s="11" t="str">
        <f>hyperlink("http://historiamujeres.es/mujera.html#Almeria","Almería condenadas a muerte,  Mujeres de")</f>
        <v>Almería condenadas a muerte,  Mujeres de</v>
      </c>
      <c r="B34" s="9" t="s">
        <v>12</v>
      </c>
      <c r="C34" s="9" t="s">
        <v>12</v>
      </c>
      <c r="D34" s="9" t="s">
        <v>26</v>
      </c>
      <c r="E34" s="9" t="s">
        <v>26</v>
      </c>
      <c r="F34" s="15">
        <v>1939.0</v>
      </c>
      <c r="G34" s="1"/>
      <c r="H34" s="9">
        <v>1945.0</v>
      </c>
      <c r="I34" s="9" t="s">
        <v>12</v>
      </c>
      <c r="J34" s="9" t="s">
        <v>105</v>
      </c>
      <c r="K34" s="9" t="s">
        <v>12</v>
      </c>
      <c r="L34" s="14" t="s">
        <v>12</v>
      </c>
      <c r="M34" s="9" t="s">
        <v>106</v>
      </c>
    </row>
    <row r="35">
      <c r="A35" s="7" t="str">
        <f>hyperlink("http://historiamujeres.es/mujera.html#Almerienses_2013","Almerienses en 2013, Mil Mujeres")</f>
        <v>Almerienses en 2013, Mil Mujeres</v>
      </c>
      <c r="B35" s="1" t="s">
        <v>12</v>
      </c>
      <c r="C35" s="9" t="s">
        <v>26</v>
      </c>
      <c r="D35" s="9" t="s">
        <v>26</v>
      </c>
      <c r="E35" s="1" t="s">
        <v>12</v>
      </c>
      <c r="F35" s="9">
        <v>1930.0</v>
      </c>
      <c r="G35" s="9" t="s">
        <v>12</v>
      </c>
      <c r="H35" s="9" t="s">
        <v>12</v>
      </c>
      <c r="I35" s="9">
        <v>2013.0</v>
      </c>
      <c r="J35" s="9" t="s">
        <v>14</v>
      </c>
      <c r="K35" s="9" t="s">
        <v>15</v>
      </c>
      <c r="L35" s="3" t="s">
        <v>12</v>
      </c>
      <c r="M35" s="9" t="s">
        <v>107</v>
      </c>
    </row>
    <row r="36">
      <c r="A36" s="4" t="str">
        <f>hyperlink("http://historiamujeres.es/mujera.html#Almerienses","Almerienses represaliadas por el franquismo 1939-45, 600 Mujeres")</f>
        <v>Almerienses represaliadas por el franquismo 1939-45, 600 Mujeres</v>
      </c>
      <c r="B36" s="1" t="s">
        <v>12</v>
      </c>
      <c r="C36" s="1" t="s">
        <v>26</v>
      </c>
      <c r="D36" s="1" t="s">
        <v>26</v>
      </c>
      <c r="E36" s="1" t="s">
        <v>12</v>
      </c>
      <c r="F36" s="5">
        <v>1900.0</v>
      </c>
      <c r="G36" s="6" t="s">
        <v>43</v>
      </c>
      <c r="H36" s="6">
        <v>2000.0</v>
      </c>
      <c r="I36" s="1" t="s">
        <v>12</v>
      </c>
      <c r="J36" s="1" t="s">
        <v>108</v>
      </c>
      <c r="K36" s="1" t="s">
        <v>15</v>
      </c>
      <c r="L36" s="3" t="s">
        <v>12</v>
      </c>
      <c r="M36" s="1" t="s">
        <v>12</v>
      </c>
    </row>
    <row r="37">
      <c r="A37" s="22" t="str">
        <f>hyperlink("http://historiamujeres.es/mujera.html#Almerienses_nuestra","almerienses, nuestra historia. Mujeres")</f>
        <v>almerienses, nuestra historia. Mujeres</v>
      </c>
      <c r="B37" s="9" t="s">
        <v>12</v>
      </c>
      <c r="C37" s="9" t="s">
        <v>26</v>
      </c>
      <c r="D37" s="9" t="s">
        <v>12</v>
      </c>
      <c r="E37" s="9" t="s">
        <v>109</v>
      </c>
      <c r="F37" s="15">
        <v>2018.0</v>
      </c>
      <c r="G37" s="1"/>
      <c r="H37" s="9"/>
      <c r="I37" s="9">
        <v>2018.0</v>
      </c>
      <c r="J37" s="9" t="s">
        <v>45</v>
      </c>
      <c r="K37" s="9" t="s">
        <v>12</v>
      </c>
      <c r="L37" s="14" t="s">
        <v>12</v>
      </c>
      <c r="M37" s="9" t="s">
        <v>110</v>
      </c>
    </row>
    <row r="38">
      <c r="A38" s="4" t="str">
        <f>hyperlink("http://historiamujeres.es/mujera.html#Alvarez_Benito","Álvarez Benito, Marina")</f>
        <v>Álvarez Benito, Marina</v>
      </c>
      <c r="B38" s="1" t="s">
        <v>12</v>
      </c>
      <c r="C38" s="1" t="s">
        <v>24</v>
      </c>
      <c r="D38" s="1" t="s">
        <v>12</v>
      </c>
      <c r="E38" s="1" t="s">
        <v>12</v>
      </c>
      <c r="F38" s="2">
        <v>1961.0</v>
      </c>
      <c r="G38" s="1" t="s">
        <v>12</v>
      </c>
      <c r="H38" s="1" t="s">
        <v>12</v>
      </c>
      <c r="I38" s="1" t="s">
        <v>12</v>
      </c>
      <c r="J38" s="1" t="s">
        <v>111</v>
      </c>
      <c r="K38" s="1" t="s">
        <v>12</v>
      </c>
      <c r="L38" s="3" t="s">
        <v>12</v>
      </c>
      <c r="M38" s="1" t="s">
        <v>112</v>
      </c>
    </row>
    <row r="39">
      <c r="A39" s="4" t="str">
        <f>hyperlink("http://www.historiamujeres.es/mujera.html#Alvarez_Burgos","Álvarez de Burgos, María")</f>
        <v>Álvarez de Burgos, María</v>
      </c>
      <c r="B39" s="1" t="s">
        <v>12</v>
      </c>
      <c r="C39" s="1" t="s">
        <v>26</v>
      </c>
      <c r="D39" s="1" t="s">
        <v>68</v>
      </c>
      <c r="E39" s="1" t="s">
        <v>12</v>
      </c>
      <c r="F39" s="2">
        <v>1898.0</v>
      </c>
      <c r="G39" s="1" t="s">
        <v>12</v>
      </c>
      <c r="H39" s="1">
        <v>1939.0</v>
      </c>
      <c r="I39" s="1" t="s">
        <v>12</v>
      </c>
      <c r="J39" s="1" t="s">
        <v>113</v>
      </c>
      <c r="K39" s="1" t="s">
        <v>114</v>
      </c>
      <c r="L39" s="3" t="s">
        <v>12</v>
      </c>
      <c r="M39" s="1" t="s">
        <v>12</v>
      </c>
    </row>
    <row r="40">
      <c r="A40" s="4" t="str">
        <f>hyperlink("http://historiamujeres.es/mujera.html#Alvarez_De_Toledo","Álvarez De Toledo Portugal y Alfonso-Pimentel, Mariana Engracia")</f>
        <v>Álvarez De Toledo Portugal y Alfonso-Pimentel, Mariana Engracia</v>
      </c>
      <c r="B40" s="1" t="s">
        <v>115</v>
      </c>
      <c r="C40" s="1" t="s">
        <v>116</v>
      </c>
      <c r="D40" s="1" t="s">
        <v>68</v>
      </c>
      <c r="E40" s="1" t="s">
        <v>117</v>
      </c>
      <c r="F40" s="16">
        <v>1623.0</v>
      </c>
      <c r="G40" s="17" t="s">
        <v>12</v>
      </c>
      <c r="H40" s="1">
        <v>1686.0</v>
      </c>
      <c r="I40" s="1" t="s">
        <v>12</v>
      </c>
      <c r="J40" s="1" t="s">
        <v>118</v>
      </c>
      <c r="K40" s="1" t="s">
        <v>119</v>
      </c>
      <c r="L40" s="3" t="s">
        <v>12</v>
      </c>
      <c r="M40" s="1" t="s">
        <v>12</v>
      </c>
    </row>
    <row r="41">
      <c r="A41" s="4" t="str">
        <f>hyperlink("http://www.historiamujeres.es/mujera.html#alvarez","Álvarez Moreno, María del Carmen")</f>
        <v>Álvarez Moreno, María del Carmen</v>
      </c>
      <c r="B41" s="1" t="s">
        <v>120</v>
      </c>
      <c r="C41" s="1" t="s">
        <v>12</v>
      </c>
      <c r="D41" s="1" t="s">
        <v>12</v>
      </c>
      <c r="E41" s="1" t="s">
        <v>12</v>
      </c>
      <c r="F41" s="2">
        <v>1958.0</v>
      </c>
      <c r="G41" s="1" t="s">
        <v>12</v>
      </c>
      <c r="H41" s="1" t="s">
        <v>12</v>
      </c>
      <c r="I41" s="1" t="s">
        <v>12</v>
      </c>
      <c r="J41" s="1" t="s">
        <v>121</v>
      </c>
      <c r="K41" s="1" t="s">
        <v>12</v>
      </c>
      <c r="L41" s="3" t="s">
        <v>12</v>
      </c>
      <c r="M41" s="1" t="s">
        <v>122</v>
      </c>
    </row>
    <row r="42">
      <c r="A42" s="4" t="str">
        <f>hyperlink("http://www.historiamujeres.es/mujera.html#Alvarezro","Álvarez Rodríguez, María del Rosario")</f>
        <v>Álvarez Rodríguez, María del Rosario</v>
      </c>
      <c r="B42" s="1" t="s">
        <v>123</v>
      </c>
      <c r="C42" s="1" t="s">
        <v>30</v>
      </c>
      <c r="D42" s="1" t="s">
        <v>12</v>
      </c>
      <c r="E42" s="1" t="s">
        <v>12</v>
      </c>
      <c r="F42" s="2">
        <v>1935.0</v>
      </c>
      <c r="G42" s="1" t="s">
        <v>12</v>
      </c>
      <c r="H42" s="1" t="s">
        <v>12</v>
      </c>
      <c r="I42" s="1" t="s">
        <v>12</v>
      </c>
      <c r="J42" s="1" t="s">
        <v>65</v>
      </c>
      <c r="K42" s="1" t="s">
        <v>113</v>
      </c>
      <c r="L42" s="3" t="s">
        <v>12</v>
      </c>
      <c r="M42" s="1" t="s">
        <v>124</v>
      </c>
    </row>
    <row r="43">
      <c r="A43" s="22" t="str">
        <f>hyperlink("http://historiamujeres.es/mujera.html#alvarez-rguez-petra","Álvarez Rodríguez, Petra")</f>
        <v>Álvarez Rodríguez, Petra</v>
      </c>
      <c r="B43" s="9" t="s">
        <v>12</v>
      </c>
      <c r="C43" s="9" t="s">
        <v>26</v>
      </c>
      <c r="D43" s="9" t="s">
        <v>26</v>
      </c>
      <c r="E43" s="1"/>
      <c r="F43" s="15">
        <v>1920.0</v>
      </c>
      <c r="G43" s="9" t="s">
        <v>12</v>
      </c>
      <c r="H43" s="9">
        <v>2013.0</v>
      </c>
      <c r="I43" s="1"/>
      <c r="J43" s="9" t="s">
        <v>125</v>
      </c>
      <c r="K43" s="9" t="s">
        <v>126</v>
      </c>
      <c r="L43" s="14" t="s">
        <v>127</v>
      </c>
      <c r="M43" s="9" t="s">
        <v>128</v>
      </c>
    </row>
    <row r="44">
      <c r="A44" s="4" t="str">
        <f>hyperlink("http://historiamujeres.es/mujera.html#alvarez_leonor","Álvarez, Leonor")</f>
        <v>Álvarez, Leonor</v>
      </c>
      <c r="B44" s="1" t="s">
        <v>12</v>
      </c>
      <c r="C44" s="1" t="s">
        <v>12</v>
      </c>
      <c r="D44" s="1" t="s">
        <v>27</v>
      </c>
      <c r="E44" s="1" t="s">
        <v>129</v>
      </c>
      <c r="F44" s="5">
        <v>1680.0</v>
      </c>
      <c r="G44" s="6" t="s">
        <v>17</v>
      </c>
      <c r="H44" s="1">
        <v>1723.0</v>
      </c>
      <c r="I44" s="1" t="s">
        <v>12</v>
      </c>
      <c r="J44" s="1" t="s">
        <v>130</v>
      </c>
      <c r="K44" s="1" t="s">
        <v>131</v>
      </c>
      <c r="L44" s="3" t="s">
        <v>12</v>
      </c>
      <c r="M44" s="1" t="s">
        <v>132</v>
      </c>
    </row>
    <row r="45">
      <c r="A45" s="4" t="str">
        <f>hyperlink("http://historiamujeres.es/mujers.html#Susi","Amador Santiago, Susana")</f>
        <v>Amador Santiago, Susana</v>
      </c>
      <c r="B45" s="1" t="s">
        <v>133</v>
      </c>
      <c r="C45" s="1" t="s">
        <v>134</v>
      </c>
      <c r="D45" s="1" t="s">
        <v>12</v>
      </c>
      <c r="E45" s="1" t="s">
        <v>12</v>
      </c>
      <c r="F45" s="2">
        <v>1955.0</v>
      </c>
      <c r="G45" s="1" t="s">
        <v>12</v>
      </c>
      <c r="H45" s="1" t="s">
        <v>12</v>
      </c>
      <c r="I45" s="1" t="s">
        <v>12</v>
      </c>
      <c r="J45" s="1" t="s">
        <v>135</v>
      </c>
      <c r="K45" s="1" t="s">
        <v>12</v>
      </c>
      <c r="L45" s="3" t="s">
        <v>12</v>
      </c>
      <c r="M45" s="1" t="s">
        <v>12</v>
      </c>
    </row>
    <row r="46">
      <c r="A46" s="4" t="str">
        <f>hyperlink("http://historiamujeres.es/mujera.html#Amate","Amate López, María")</f>
        <v>Amate López, María</v>
      </c>
      <c r="B46" s="1" t="s">
        <v>12</v>
      </c>
      <c r="C46" s="1" t="s">
        <v>136</v>
      </c>
      <c r="D46" s="1" t="s">
        <v>12</v>
      </c>
      <c r="E46" s="1" t="s">
        <v>137</v>
      </c>
      <c r="F46" s="16">
        <v>1897.0</v>
      </c>
      <c r="G46" s="17" t="s">
        <v>17</v>
      </c>
      <c r="H46" s="17" t="s">
        <v>12</v>
      </c>
      <c r="I46" s="1">
        <v>1940.0</v>
      </c>
      <c r="J46" s="1" t="s">
        <v>138</v>
      </c>
      <c r="K46" s="1" t="s">
        <v>139</v>
      </c>
      <c r="L46" s="3" t="s">
        <v>12</v>
      </c>
      <c r="M46" s="1" t="s">
        <v>12</v>
      </c>
    </row>
    <row r="47">
      <c r="A47" s="4" t="str">
        <f>hyperlink("http://historiamujeres.es/mujera.html#Aniya","Amaya Molina, Ana")</f>
        <v>Amaya Molina, Ana</v>
      </c>
      <c r="B47" s="1" t="s">
        <v>140</v>
      </c>
      <c r="C47" s="1" t="s">
        <v>141</v>
      </c>
      <c r="D47" s="1" t="s">
        <v>12</v>
      </c>
      <c r="E47" s="1" t="s">
        <v>12</v>
      </c>
      <c r="F47" s="2">
        <v>1855.0</v>
      </c>
      <c r="G47" s="1" t="s">
        <v>12</v>
      </c>
      <c r="H47" s="1">
        <v>1933.0</v>
      </c>
      <c r="I47" s="1" t="s">
        <v>12</v>
      </c>
      <c r="J47" s="1" t="s">
        <v>69</v>
      </c>
      <c r="K47" s="1" t="s">
        <v>142</v>
      </c>
      <c r="L47" s="3" t="s">
        <v>12</v>
      </c>
      <c r="M47" s="1" t="s">
        <v>12</v>
      </c>
    </row>
    <row r="48">
      <c r="A48" s="4" t="str">
        <f>hyperlink("http://www.historiamujeres.es/mujera.html#Amaya","Amaya, Carmen")</f>
        <v>Amaya, Carmen</v>
      </c>
      <c r="B48" s="1" t="s">
        <v>12</v>
      </c>
      <c r="C48" s="1" t="s">
        <v>12</v>
      </c>
      <c r="D48" s="1" t="s">
        <v>143</v>
      </c>
      <c r="E48" s="1" t="s">
        <v>144</v>
      </c>
      <c r="F48" s="2">
        <v>1913.0</v>
      </c>
      <c r="G48" s="1" t="s">
        <v>12</v>
      </c>
      <c r="H48" s="1">
        <v>1963.0</v>
      </c>
      <c r="I48" s="1" t="s">
        <v>12</v>
      </c>
      <c r="J48" s="1" t="s">
        <v>145</v>
      </c>
      <c r="K48" s="1" t="s">
        <v>12</v>
      </c>
      <c r="L48" s="3" t="s">
        <v>12</v>
      </c>
      <c r="M48" s="1" t="s">
        <v>12</v>
      </c>
    </row>
    <row r="49">
      <c r="A49" s="7" t="str">
        <f>hyperlink("http://historiamujeres.es/vidas/anarquistas-andalucia-mujeres.html","Anarquistas en Andalucía, Mujeres")</f>
        <v>Anarquistas en Andalucía, Mujeres</v>
      </c>
      <c r="B49" s="8" t="s">
        <v>12</v>
      </c>
      <c r="C49" s="8" t="s">
        <v>146</v>
      </c>
      <c r="D49" s="8" t="s">
        <v>146</v>
      </c>
      <c r="E49" s="8" t="s">
        <v>12</v>
      </c>
      <c r="F49" s="8">
        <v>1850.0</v>
      </c>
      <c r="H49" s="8" t="s">
        <v>12</v>
      </c>
      <c r="I49" s="8" t="s">
        <v>12</v>
      </c>
      <c r="J49" s="8" t="s">
        <v>147</v>
      </c>
      <c r="L49" s="8" t="s">
        <v>15</v>
      </c>
      <c r="M49" s="8" t="s">
        <v>12</v>
      </c>
    </row>
    <row r="50">
      <c r="A50" s="4" t="str">
        <f>hyperlink("http://www.historiamujeres.es/mujera.html#Ancianas","Ancianas de la Colomera")</f>
        <v>Ancianas de la Colomera</v>
      </c>
      <c r="B50" s="1" t="s">
        <v>12</v>
      </c>
      <c r="C50" s="1" t="s">
        <v>148</v>
      </c>
      <c r="D50" s="1" t="s">
        <v>12</v>
      </c>
      <c r="E50" s="1" t="s">
        <v>12</v>
      </c>
      <c r="F50" s="5">
        <v>1930.0</v>
      </c>
      <c r="G50" s="6" t="s">
        <v>17</v>
      </c>
      <c r="H50" s="1" t="s">
        <v>12</v>
      </c>
      <c r="I50" s="1">
        <v>2008.0</v>
      </c>
      <c r="J50" s="1" t="s">
        <v>149</v>
      </c>
      <c r="K50" s="1" t="s">
        <v>12</v>
      </c>
      <c r="L50" s="3" t="s">
        <v>12</v>
      </c>
      <c r="M50" s="1" t="s">
        <v>12</v>
      </c>
    </row>
    <row r="51">
      <c r="A51" s="4" t="str">
        <f>hyperlink("http://www.historiamujeres.es/mujera.html#Andujarca","Andujar Camuñez, Elena")</f>
        <v>Andujar Camuñez, Elena</v>
      </c>
      <c r="B51" s="1" t="s">
        <v>12</v>
      </c>
      <c r="C51" s="1" t="s">
        <v>27</v>
      </c>
      <c r="D51" s="1" t="s">
        <v>12</v>
      </c>
      <c r="E51" s="1" t="s">
        <v>12</v>
      </c>
      <c r="F51" s="2">
        <v>1967.0</v>
      </c>
      <c r="G51" s="1" t="s">
        <v>12</v>
      </c>
      <c r="H51" s="1" t="s">
        <v>12</v>
      </c>
      <c r="I51" s="1" t="s">
        <v>12</v>
      </c>
      <c r="J51" s="1" t="s">
        <v>150</v>
      </c>
      <c r="K51" s="1" t="s">
        <v>12</v>
      </c>
      <c r="L51" s="3" t="s">
        <v>12</v>
      </c>
      <c r="M51" s="1" t="s">
        <v>12</v>
      </c>
    </row>
    <row r="52">
      <c r="A52" s="4" t="str">
        <f>hyperlink("http://www.historiamujeres.es/mujera.html#Andujar_Garz%F3n_Mar%EDa","Andujar Garzón, María")</f>
        <v>Andujar Garzón, María</v>
      </c>
      <c r="B52" s="1" t="s">
        <v>12</v>
      </c>
      <c r="C52" s="1" t="s">
        <v>12</v>
      </c>
      <c r="D52" s="1" t="s">
        <v>12</v>
      </c>
      <c r="E52" s="1" t="s">
        <v>151</v>
      </c>
      <c r="F52" s="5">
        <v>1950.0</v>
      </c>
      <c r="G52" s="6" t="s">
        <v>17</v>
      </c>
      <c r="H52" s="1" t="s">
        <v>12</v>
      </c>
      <c r="I52" s="1" t="s">
        <v>12</v>
      </c>
      <c r="J52" s="1" t="s">
        <v>152</v>
      </c>
      <c r="K52" s="1" t="s">
        <v>12</v>
      </c>
      <c r="L52" s="3" t="s">
        <v>12</v>
      </c>
      <c r="M52" s="1" t="s">
        <v>153</v>
      </c>
    </row>
    <row r="53">
      <c r="A53" s="4" t="str">
        <f>hyperlink("http://historiamujeres.es/mujera.html#angela","Ángela de la Cruz, Sor")</f>
        <v>Ángela de la Cruz, Sor</v>
      </c>
      <c r="B53" s="1" t="s">
        <v>12</v>
      </c>
      <c r="C53" s="1" t="s">
        <v>27</v>
      </c>
      <c r="D53" s="1" t="s">
        <v>12</v>
      </c>
      <c r="E53" s="1" t="s">
        <v>12</v>
      </c>
      <c r="F53" s="2">
        <v>1846.0</v>
      </c>
      <c r="G53" s="1" t="s">
        <v>12</v>
      </c>
      <c r="H53" s="1">
        <v>1932.0</v>
      </c>
      <c r="I53" s="1" t="s">
        <v>12</v>
      </c>
      <c r="J53" s="1" t="s">
        <v>154</v>
      </c>
      <c r="K53" s="1" t="s">
        <v>155</v>
      </c>
      <c r="L53" s="3" t="s">
        <v>12</v>
      </c>
      <c r="M53" s="1" t="s">
        <v>12</v>
      </c>
    </row>
    <row r="54">
      <c r="A54" s="7" t="str">
        <f>hyperlink("http://historiamujeres.es/medalla/ANSEMAC.html","ANSEMAC")</f>
        <v>ANSEMAC</v>
      </c>
      <c r="B54" s="8" t="s">
        <v>12</v>
      </c>
      <c r="C54" s="8" t="s">
        <v>146</v>
      </c>
      <c r="D54" s="8" t="s">
        <v>12</v>
      </c>
      <c r="E54" s="8" t="s">
        <v>12</v>
      </c>
      <c r="F54" s="8">
        <v>2016.0</v>
      </c>
      <c r="H54" s="8" t="s">
        <v>12</v>
      </c>
      <c r="I54" s="8" t="s">
        <v>12</v>
      </c>
      <c r="J54" s="8" t="s">
        <v>156</v>
      </c>
      <c r="K54" s="8" t="s">
        <v>12</v>
      </c>
      <c r="L54" s="8" t="s">
        <v>12</v>
      </c>
      <c r="M54" s="8" t="s">
        <v>157</v>
      </c>
    </row>
    <row r="55">
      <c r="A55" s="4" t="str">
        <f>hyperlink("http://historiamujeres.es/mujera.html#Anton","Antón del Olmet, Casilda ")</f>
        <v>Antón del Olmet, Casilda </v>
      </c>
      <c r="B55" s="1" t="s">
        <v>12</v>
      </c>
      <c r="C55" s="1" t="s">
        <v>129</v>
      </c>
      <c r="D55" s="1" t="s">
        <v>12</v>
      </c>
      <c r="E55" s="1" t="s">
        <v>68</v>
      </c>
      <c r="F55" s="2">
        <v>1871.0</v>
      </c>
      <c r="G55" s="6" t="s">
        <v>92</v>
      </c>
      <c r="H55" s="6">
        <v>1960.0</v>
      </c>
      <c r="I55" s="1" t="s">
        <v>12</v>
      </c>
      <c r="J55" s="1" t="s">
        <v>60</v>
      </c>
      <c r="K55" s="1" t="s">
        <v>158</v>
      </c>
      <c r="L55" s="3" t="s">
        <v>12</v>
      </c>
      <c r="M55" s="1" t="s">
        <v>12</v>
      </c>
    </row>
    <row r="56">
      <c r="A56" s="4" t="str">
        <f>hyperlink("http://historiamujeres.es/mujera.html#Arcos_","Arcos Dabrio, Isabel")</f>
        <v>Arcos Dabrio, Isabel</v>
      </c>
      <c r="B56" s="1" t="s">
        <v>12</v>
      </c>
      <c r="C56" s="1" t="s">
        <v>129</v>
      </c>
      <c r="D56" s="1" t="s">
        <v>12</v>
      </c>
      <c r="E56" s="1" t="s">
        <v>12</v>
      </c>
      <c r="F56" s="2">
        <v>1931.0</v>
      </c>
      <c r="G56" s="1" t="s">
        <v>12</v>
      </c>
      <c r="H56" s="1" t="s">
        <v>12</v>
      </c>
      <c r="I56" s="1" t="s">
        <v>12</v>
      </c>
      <c r="J56" s="1" t="s">
        <v>159</v>
      </c>
      <c r="K56" s="1" t="s">
        <v>160</v>
      </c>
      <c r="L56" s="3" t="s">
        <v>12</v>
      </c>
      <c r="M56" s="1" t="s">
        <v>161</v>
      </c>
    </row>
    <row r="57">
      <c r="A57" s="4" t="str">
        <f>hyperlink("http://historiamujeres.es/mujera.html#Areales","Areales Romero, Soledad")</f>
        <v>Areales Romero, Soledad</v>
      </c>
      <c r="B57" s="1" t="s">
        <v>12</v>
      </c>
      <c r="C57" s="1" t="s">
        <v>162</v>
      </c>
      <c r="D57" s="1" t="s">
        <v>163</v>
      </c>
      <c r="E57" s="1" t="s">
        <v>12</v>
      </c>
      <c r="F57" s="2">
        <v>1850.0</v>
      </c>
      <c r="G57" s="1" t="s">
        <v>12</v>
      </c>
      <c r="H57" s="1">
        <v>1909.0</v>
      </c>
      <c r="I57" s="1" t="s">
        <v>12</v>
      </c>
      <c r="J57" s="1" t="s">
        <v>113</v>
      </c>
      <c r="K57" s="1" t="s">
        <v>80</v>
      </c>
      <c r="L57" s="3" t="s">
        <v>164</v>
      </c>
      <c r="M57" s="9" t="s">
        <v>165</v>
      </c>
    </row>
    <row r="58">
      <c r="A58" s="7" t="str">
        <f>hyperlink("http://historiamujeres.es/mujera.html#Argarica","Argárica, Mujer")</f>
        <v>Argárica, Mujer</v>
      </c>
      <c r="B58" s="1" t="s">
        <v>12</v>
      </c>
      <c r="C58" s="9" t="s">
        <v>166</v>
      </c>
      <c r="D58" s="1" t="s">
        <v>12</v>
      </c>
      <c r="E58" s="9" t="s">
        <v>167</v>
      </c>
      <c r="F58" s="15">
        <v>2200.0</v>
      </c>
      <c r="G58" s="9" t="s">
        <v>12</v>
      </c>
      <c r="H58" s="9">
        <v>1550.0</v>
      </c>
      <c r="I58" s="1" t="s">
        <v>12</v>
      </c>
      <c r="J58" s="9" t="s">
        <v>14</v>
      </c>
      <c r="K58" s="9" t="s">
        <v>15</v>
      </c>
      <c r="L58" s="3" t="s">
        <v>12</v>
      </c>
      <c r="M58" s="1"/>
    </row>
    <row r="59">
      <c r="A59" s="4" t="str">
        <f>hyperlink("http://historiamujeres.es/mujera.html#Argentea","Argentea")</f>
        <v>Argentea</v>
      </c>
      <c r="B59" s="1" t="s">
        <v>12</v>
      </c>
      <c r="C59" s="1" t="s">
        <v>12</v>
      </c>
      <c r="D59" s="1" t="s">
        <v>12</v>
      </c>
      <c r="E59" s="1" t="s">
        <v>12</v>
      </c>
      <c r="F59" s="5">
        <v>900.0</v>
      </c>
      <c r="G59" s="6" t="s">
        <v>17</v>
      </c>
      <c r="H59" s="1">
        <v>937.0</v>
      </c>
      <c r="I59" s="1" t="s">
        <v>12</v>
      </c>
      <c r="J59" s="1" t="s">
        <v>168</v>
      </c>
      <c r="K59" s="1" t="s">
        <v>12</v>
      </c>
      <c r="L59" s="3" t="s">
        <v>12</v>
      </c>
      <c r="M59" s="1" t="s">
        <v>169</v>
      </c>
    </row>
    <row r="60">
      <c r="A60" s="4" t="str">
        <f>hyperlink("http://historiamujeres.es/mujera.html#ARNAiz","Arnáiz de las Revillas García, Ana Isabel")</f>
        <v>Arnáiz de las Revillas García, Ana Isabel</v>
      </c>
      <c r="B60" s="1" t="s">
        <v>12</v>
      </c>
      <c r="C60" s="1" t="s">
        <v>170</v>
      </c>
      <c r="D60" s="1" t="s">
        <v>12</v>
      </c>
      <c r="E60" s="1" t="s">
        <v>27</v>
      </c>
      <c r="F60" s="2">
        <v>1959.0</v>
      </c>
      <c r="G60" s="1" t="s">
        <v>12</v>
      </c>
      <c r="H60" s="1" t="s">
        <v>12</v>
      </c>
      <c r="I60" s="1" t="s">
        <v>12</v>
      </c>
      <c r="J60" s="1" t="s">
        <v>171</v>
      </c>
      <c r="K60" s="1" t="s">
        <v>12</v>
      </c>
      <c r="L60" s="3" t="s">
        <v>12</v>
      </c>
      <c r="M60" s="1" t="s">
        <v>12</v>
      </c>
    </row>
    <row r="61">
      <c r="A61" s="4" t="str">
        <f>hyperlink("http://historiamujeres.es/mujera.html#Asensio","Asensio Morales, María")</f>
        <v>Asensio Morales, María</v>
      </c>
      <c r="B61" s="1" t="s">
        <v>12</v>
      </c>
      <c r="C61" s="1" t="s">
        <v>12</v>
      </c>
      <c r="D61" s="1" t="s">
        <v>172</v>
      </c>
      <c r="E61" s="1" t="s">
        <v>12</v>
      </c>
      <c r="F61" s="2">
        <v>1949.0</v>
      </c>
      <c r="G61" s="1" t="s">
        <v>12</v>
      </c>
      <c r="H61" s="1">
        <v>1981.0</v>
      </c>
      <c r="I61" s="1" t="s">
        <v>12</v>
      </c>
      <c r="J61" s="1" t="s">
        <v>173</v>
      </c>
      <c r="K61" s="1" t="s">
        <v>174</v>
      </c>
      <c r="L61" s="3" t="s">
        <v>12</v>
      </c>
      <c r="M61" s="1" t="s">
        <v>175</v>
      </c>
    </row>
    <row r="62">
      <c r="A62" s="4" t="str">
        <f>hyperlink("http://historiamujeres.es/mujera.html#Asensio","Asensio, Ángeles")</f>
        <v>Asensio, Ángeles</v>
      </c>
      <c r="B62" s="1" t="s">
        <v>12</v>
      </c>
      <c r="C62" s="1" t="s">
        <v>176</v>
      </c>
      <c r="D62" s="1" t="s">
        <v>12</v>
      </c>
      <c r="E62" s="1" t="s">
        <v>24</v>
      </c>
      <c r="F62" s="5">
        <v>1955.0</v>
      </c>
      <c r="G62" s="6" t="s">
        <v>17</v>
      </c>
      <c r="H62" s="1" t="s">
        <v>12</v>
      </c>
      <c r="I62" s="1" t="s">
        <v>12</v>
      </c>
      <c r="J62" s="1" t="s">
        <v>70</v>
      </c>
      <c r="K62" s="1" t="s">
        <v>177</v>
      </c>
      <c r="L62" s="3" t="s">
        <v>12</v>
      </c>
      <c r="M62" s="1" t="s">
        <v>12</v>
      </c>
    </row>
    <row r="63">
      <c r="A63" s="4" t="str">
        <f>hyperlink("http://historiamujeres.es/mujera.html#Asociacion_general","Asociación General Femenina en Valencia")</f>
        <v>Asociación General Femenina en Valencia</v>
      </c>
      <c r="B63" s="1" t="s">
        <v>12</v>
      </c>
      <c r="C63" s="1" t="s">
        <v>178</v>
      </c>
      <c r="D63" s="1" t="s">
        <v>178</v>
      </c>
      <c r="E63" s="1" t="s">
        <v>12</v>
      </c>
      <c r="F63" s="2">
        <v>1897.0</v>
      </c>
      <c r="G63" s="1" t="s">
        <v>12</v>
      </c>
      <c r="H63" s="1">
        <v>1910.0</v>
      </c>
      <c r="I63" s="1" t="s">
        <v>12</v>
      </c>
      <c r="J63" s="1" t="s">
        <v>179</v>
      </c>
      <c r="K63" s="1" t="s">
        <v>180</v>
      </c>
      <c r="L63" s="3" t="s">
        <v>12</v>
      </c>
      <c r="M63" s="1" t="s">
        <v>181</v>
      </c>
    </row>
    <row r="64">
      <c r="A64" s="7" t="str">
        <f>hyperlink("http://historiamujeres.es/mujera.html#Astruc","Astruc, Miriam")</f>
        <v>Astruc, Miriam</v>
      </c>
      <c r="B64" s="8" t="s">
        <v>12</v>
      </c>
      <c r="C64" s="8" t="s">
        <v>182</v>
      </c>
      <c r="D64" s="8" t="s">
        <v>183</v>
      </c>
      <c r="E64" s="8" t="s">
        <v>184</v>
      </c>
      <c r="F64" s="8">
        <v>1904.0</v>
      </c>
      <c r="G64" s="9" t="s">
        <v>12</v>
      </c>
      <c r="H64" s="8">
        <v>1963.0</v>
      </c>
      <c r="I64" s="8">
        <v>1935.0</v>
      </c>
      <c r="J64" s="8" t="s">
        <v>28</v>
      </c>
      <c r="K64" s="8" t="s">
        <v>185</v>
      </c>
      <c r="L64" s="8" t="s">
        <v>12</v>
      </c>
      <c r="M64" s="8" t="s">
        <v>186</v>
      </c>
    </row>
    <row r="65">
      <c r="A65" s="4" t="str">
        <f>hyperlink("http://historiamujeres.es/mujera.html#Atencia","Atencia,  María Victoria")</f>
        <v>Atencia,  María Victoria</v>
      </c>
      <c r="B65" s="1" t="s">
        <v>12</v>
      </c>
      <c r="C65" s="1" t="s">
        <v>98</v>
      </c>
      <c r="D65" s="1" t="s">
        <v>12</v>
      </c>
      <c r="E65" s="1" t="s">
        <v>12</v>
      </c>
      <c r="F65" s="2">
        <v>1931.0</v>
      </c>
      <c r="G65" s="1" t="s">
        <v>12</v>
      </c>
      <c r="H65" s="1" t="s">
        <v>12</v>
      </c>
      <c r="I65" s="1" t="s">
        <v>12</v>
      </c>
      <c r="J65" s="1" t="s">
        <v>70</v>
      </c>
      <c r="K65" s="1" t="s">
        <v>12</v>
      </c>
      <c r="L65" s="3" t="s">
        <v>12</v>
      </c>
      <c r="M65" s="1" t="s">
        <v>36</v>
      </c>
    </row>
    <row r="66">
      <c r="A66" s="11" t="str">
        <f>hyperlink("http://historiamujeres.es/mujera.html#Ayala_Montoro","Ayala Montoro, Maribel")</f>
        <v>Ayala Montoro, Maribel</v>
      </c>
      <c r="B66" s="9" t="s">
        <v>12</v>
      </c>
      <c r="C66" s="9" t="s">
        <v>64</v>
      </c>
      <c r="D66" s="9" t="s">
        <v>12</v>
      </c>
      <c r="E66" s="9" t="s">
        <v>12</v>
      </c>
      <c r="F66" s="15">
        <v>1943.0</v>
      </c>
      <c r="G66" s="9" t="s">
        <v>12</v>
      </c>
      <c r="H66" s="9" t="s">
        <v>12</v>
      </c>
      <c r="I66" s="9" t="s">
        <v>12</v>
      </c>
      <c r="J66" s="9" t="s">
        <v>187</v>
      </c>
      <c r="K66" s="9" t="s">
        <v>188</v>
      </c>
      <c r="L66" s="14" t="s">
        <v>12</v>
      </c>
      <c r="M66" s="9" t="s">
        <v>12</v>
      </c>
    </row>
    <row r="67">
      <c r="A67" s="4" t="str">
        <f>hyperlink("http://historiamujeres.es/mujera.html#AYALA","Ayala, Josefa de")</f>
        <v>Ayala, Josefa de</v>
      </c>
      <c r="B67" s="1" t="s">
        <v>189</v>
      </c>
      <c r="C67" s="1" t="s">
        <v>27</v>
      </c>
      <c r="D67" s="1" t="s">
        <v>190</v>
      </c>
      <c r="E67" s="1" t="s">
        <v>12</v>
      </c>
      <c r="F67" s="5">
        <v>1620.0</v>
      </c>
      <c r="G67" s="6" t="s">
        <v>17</v>
      </c>
      <c r="H67" s="1">
        <v>1684.0</v>
      </c>
      <c r="I67" s="1" t="s">
        <v>12</v>
      </c>
      <c r="J67" s="1" t="s">
        <v>65</v>
      </c>
      <c r="K67" s="1" t="s">
        <v>12</v>
      </c>
      <c r="L67" s="3" t="s">
        <v>12</v>
      </c>
      <c r="M67" s="1" t="s">
        <v>12</v>
      </c>
    </row>
    <row r="68">
      <c r="A68" s="4" t="str">
        <f>hyperlink("http://historiamujeres.es/vidas/azcarate-ristori-isabel.html","Azcárate Ristori, Isabel")</f>
        <v>Azcárate Ristori, Isabel</v>
      </c>
      <c r="B68" t="s">
        <v>191</v>
      </c>
      <c r="C68" s="8" t="s">
        <v>68</v>
      </c>
      <c r="D68" t="s">
        <v>12</v>
      </c>
      <c r="F68" s="8">
        <v>1923.0</v>
      </c>
      <c r="H68" s="8">
        <v>2016.0</v>
      </c>
      <c r="I68" t="s">
        <v>12</v>
      </c>
      <c r="J68" t="s">
        <v>192</v>
      </c>
      <c r="K68" t="s">
        <v>193</v>
      </c>
      <c r="L68" s="8" t="s">
        <v>194</v>
      </c>
      <c r="M68" s="1" t="s">
        <v>12</v>
      </c>
    </row>
    <row r="69">
      <c r="A69" s="4" t="str">
        <f>hyperlink("http://www.historiamujeres.es/mujera.html#Abrucena","Azor Alonso, Josefa Isabel")</f>
        <v>Azor Alonso, Josefa Isabel</v>
      </c>
      <c r="B69" s="1" t="s">
        <v>12</v>
      </c>
      <c r="C69" s="1" t="s">
        <v>195</v>
      </c>
      <c r="D69" s="1" t="s">
        <v>12</v>
      </c>
      <c r="E69" s="1" t="s">
        <v>13</v>
      </c>
      <c r="F69" s="2">
        <v>1940.0</v>
      </c>
      <c r="G69" s="1" t="s">
        <v>12</v>
      </c>
      <c r="H69" s="1" t="s">
        <v>12</v>
      </c>
      <c r="I69" s="1" t="s">
        <v>12</v>
      </c>
      <c r="J69" s="1" t="s">
        <v>188</v>
      </c>
      <c r="K69" s="1" t="s">
        <v>12</v>
      </c>
      <c r="L69" s="3" t="s">
        <v>12</v>
      </c>
      <c r="M69" s="1" t="s">
        <v>196</v>
      </c>
    </row>
    <row r="70">
      <c r="A70" s="4" t="str">
        <f>hyperlink("http://historiamujeres.es/mujerb.html#Bacan","Bacán , Inés")</f>
        <v>Bacán , Inés</v>
      </c>
      <c r="B70" s="1" t="s">
        <v>12</v>
      </c>
      <c r="C70" s="1" t="s">
        <v>197</v>
      </c>
      <c r="D70" s="1" t="s">
        <v>12</v>
      </c>
      <c r="E70" s="1" t="s">
        <v>12</v>
      </c>
      <c r="F70" s="2">
        <v>1952.0</v>
      </c>
      <c r="G70" s="1" t="s">
        <v>12</v>
      </c>
      <c r="H70" s="1" t="s">
        <v>12</v>
      </c>
      <c r="I70" s="1" t="s">
        <v>12</v>
      </c>
      <c r="J70" s="1" t="s">
        <v>198</v>
      </c>
      <c r="K70" s="1" t="s">
        <v>12</v>
      </c>
      <c r="L70" s="3" t="s">
        <v>12</v>
      </c>
      <c r="M70" s="1" t="s">
        <v>12</v>
      </c>
    </row>
    <row r="71">
      <c r="A71" s="4" t="str">
        <f>hyperlink("http://historiamujeres.es/mujerb.html#Baena","Baena, Isabel de")</f>
        <v>Baena, Isabel de</v>
      </c>
      <c r="B71" s="1" t="s">
        <v>12</v>
      </c>
      <c r="C71" s="1" t="s">
        <v>12</v>
      </c>
      <c r="D71" s="1" t="s">
        <v>27</v>
      </c>
      <c r="E71" s="1" t="s">
        <v>12</v>
      </c>
      <c r="F71" s="2" t="s">
        <v>12</v>
      </c>
      <c r="G71" s="1" t="s">
        <v>12</v>
      </c>
      <c r="H71" s="1">
        <v>1559.0</v>
      </c>
      <c r="I71" s="1" t="s">
        <v>12</v>
      </c>
      <c r="J71" s="1" t="s">
        <v>199</v>
      </c>
      <c r="K71" s="1" t="s">
        <v>200</v>
      </c>
      <c r="L71" s="3" t="s">
        <v>12</v>
      </c>
      <c r="M71" s="1" t="s">
        <v>12</v>
      </c>
    </row>
    <row r="72">
      <c r="A72" s="7" t="str">
        <f>hyperlink("http://historiamujeres.es/mujerb.html#Baeza","Baeza, Luisa")</f>
        <v>Baeza, Luisa</v>
      </c>
      <c r="B72" s="9" t="s">
        <v>12</v>
      </c>
      <c r="C72" s="9" t="s">
        <v>201</v>
      </c>
      <c r="D72" s="9" t="s">
        <v>12</v>
      </c>
      <c r="E72" s="9" t="s">
        <v>202</v>
      </c>
      <c r="F72" s="12">
        <v>1700.0</v>
      </c>
      <c r="G72" s="13" t="s">
        <v>43</v>
      </c>
      <c r="H72" s="13">
        <v>1760.0</v>
      </c>
      <c r="I72" s="9">
        <v>1748.0</v>
      </c>
      <c r="J72" s="9" t="s">
        <v>203</v>
      </c>
      <c r="K72" s="9" t="s">
        <v>204</v>
      </c>
      <c r="L72" s="19" t="s">
        <v>12</v>
      </c>
      <c r="M72" s="9" t="s">
        <v>12</v>
      </c>
    </row>
    <row r="73">
      <c r="A73" s="4" t="str">
        <f>hyperlink("http://historiamujeres.es/mujerb.html#Bailarinas","Bailarinas gaditanas en la antigua Roma")</f>
        <v>Bailarinas gaditanas en la antigua Roma</v>
      </c>
      <c r="B73" s="1" t="s">
        <v>12</v>
      </c>
      <c r="C73" s="1" t="s">
        <v>205</v>
      </c>
      <c r="D73" s="1" t="s">
        <v>12</v>
      </c>
      <c r="E73" s="1" t="s">
        <v>206</v>
      </c>
      <c r="F73" s="2">
        <v>50.0</v>
      </c>
      <c r="G73" s="1" t="s">
        <v>12</v>
      </c>
      <c r="H73" s="1" t="s">
        <v>12</v>
      </c>
      <c r="I73" s="1" t="s">
        <v>12</v>
      </c>
      <c r="J73" s="1" t="s">
        <v>207</v>
      </c>
      <c r="K73" s="1" t="s">
        <v>12</v>
      </c>
      <c r="L73" s="3" t="s">
        <v>12</v>
      </c>
      <c r="M73" s="1" t="s">
        <v>12</v>
      </c>
    </row>
    <row r="74">
      <c r="A74" s="4" t="str">
        <f>hyperlink("http://historiamujeres.es/mujerb.html#BALLESTER","Ballester Angulo, Rosario")</f>
        <v>Ballester Angulo, Rosario</v>
      </c>
      <c r="B74" s="1" t="s">
        <v>12</v>
      </c>
      <c r="C74" s="1" t="s">
        <v>27</v>
      </c>
      <c r="D74" s="1" t="s">
        <v>12</v>
      </c>
      <c r="E74" s="1" t="s">
        <v>129</v>
      </c>
      <c r="F74" s="2">
        <v>1950.0</v>
      </c>
      <c r="G74" s="1" t="s">
        <v>12</v>
      </c>
      <c r="H74" s="1" t="s">
        <v>12</v>
      </c>
      <c r="I74" s="1" t="s">
        <v>12</v>
      </c>
      <c r="J74" s="1" t="s">
        <v>171</v>
      </c>
      <c r="K74" s="1" t="s">
        <v>208</v>
      </c>
      <c r="L74" s="3" t="s">
        <v>12</v>
      </c>
      <c r="M74" s="1" t="s">
        <v>12</v>
      </c>
    </row>
    <row r="75">
      <c r="A75" s="4" t="str">
        <f>hyperlink("http://historiamujeres.es/mujerb.html#Barea","Barea Barrera, Lola")</f>
        <v>Barea Barrera, Lola</v>
      </c>
      <c r="B75" s="1" t="s">
        <v>12</v>
      </c>
      <c r="C75" s="1" t="s">
        <v>209</v>
      </c>
      <c r="D75" s="1" t="s">
        <v>12</v>
      </c>
      <c r="E75" s="1" t="s">
        <v>210</v>
      </c>
      <c r="F75" s="16">
        <v>1958.0</v>
      </c>
      <c r="G75" s="17" t="s">
        <v>12</v>
      </c>
      <c r="H75" s="1" t="s">
        <v>12</v>
      </c>
      <c r="I75" s="1" t="s">
        <v>12</v>
      </c>
      <c r="J75" s="1" t="s">
        <v>187</v>
      </c>
      <c r="K75" s="1" t="s">
        <v>211</v>
      </c>
      <c r="L75" s="3" t="s">
        <v>212</v>
      </c>
      <c r="M75" s="1" t="s">
        <v>12</v>
      </c>
    </row>
    <row r="76">
      <c r="A76" s="4" t="str">
        <f>hyperlink("http://historiamujeres.es/mujerb.html#Barranco","Barranco García, María de los Remedios")</f>
        <v>Barranco García, María de los Remedios</v>
      </c>
      <c r="B76" s="1" t="s">
        <v>213</v>
      </c>
      <c r="C76" s="1" t="s">
        <v>98</v>
      </c>
      <c r="D76" s="1" t="s">
        <v>12</v>
      </c>
      <c r="E76" s="1" t="s">
        <v>12</v>
      </c>
      <c r="F76" s="2">
        <v>1966.0</v>
      </c>
      <c r="G76" s="1" t="s">
        <v>12</v>
      </c>
      <c r="H76" s="1" t="s">
        <v>12</v>
      </c>
      <c r="I76" s="1" t="s">
        <v>12</v>
      </c>
      <c r="J76" s="1" t="s">
        <v>214</v>
      </c>
      <c r="K76" s="1" t="s">
        <v>12</v>
      </c>
      <c r="L76" s="3" t="s">
        <v>12</v>
      </c>
      <c r="M76" s="1" t="s">
        <v>12</v>
      </c>
    </row>
    <row r="77">
      <c r="A77" s="4" t="str">
        <f>hyperlink("http://historiamujeres.es/mujerb.html#BARRECHE","Barrecheguren García, Conchita")</f>
        <v>Barrecheguren García, Conchita</v>
      </c>
      <c r="B77" s="1" t="s">
        <v>12</v>
      </c>
      <c r="C77" s="1" t="s">
        <v>30</v>
      </c>
      <c r="D77" s="1" t="s">
        <v>30</v>
      </c>
      <c r="E77" s="1" t="s">
        <v>12</v>
      </c>
      <c r="F77" s="2">
        <v>1905.0</v>
      </c>
      <c r="G77" s="1" t="s">
        <v>12</v>
      </c>
      <c r="H77" s="1">
        <v>1927.0</v>
      </c>
      <c r="I77" s="1" t="s">
        <v>12</v>
      </c>
      <c r="J77" s="1" t="s">
        <v>215</v>
      </c>
      <c r="K77" s="1" t="s">
        <v>12</v>
      </c>
      <c r="L77" s="3" t="s">
        <v>12</v>
      </c>
      <c r="M77" s="1" t="s">
        <v>12</v>
      </c>
    </row>
    <row r="78">
      <c r="A78" s="4" t="str">
        <f>hyperlink("http://historiamujeres.es/mujerb.html#Barrios","Barrios Rull, Carmen")</f>
        <v>Barrios Rull, Carmen</v>
      </c>
      <c r="B78" s="1" t="s">
        <v>12</v>
      </c>
      <c r="C78" s="1" t="s">
        <v>26</v>
      </c>
      <c r="D78" s="1" t="s">
        <v>12</v>
      </c>
      <c r="E78" s="1" t="s">
        <v>12</v>
      </c>
      <c r="F78" s="2">
        <v>1947.0</v>
      </c>
      <c r="G78" s="1" t="s">
        <v>12</v>
      </c>
      <c r="H78" s="1" t="s">
        <v>12</v>
      </c>
      <c r="I78" s="1" t="s">
        <v>12</v>
      </c>
      <c r="J78" s="1" t="s">
        <v>216</v>
      </c>
      <c r="K78" s="1" t="s">
        <v>12</v>
      </c>
      <c r="L78" s="3" t="s">
        <v>12</v>
      </c>
      <c r="M78" s="1" t="s">
        <v>12</v>
      </c>
    </row>
    <row r="79">
      <c r="A79" s="11" t="str">
        <f>hyperlink("http://historiamujeres.es/mujerb.html#Barron","Barrón, Eustaquia")
</f>
        <v>Barrón, Eustaquia</v>
      </c>
      <c r="B79" s="9" t="s">
        <v>12</v>
      </c>
      <c r="C79" s="9" t="s">
        <v>27</v>
      </c>
      <c r="D79" s="9" t="s">
        <v>12</v>
      </c>
      <c r="E79" s="9" t="s">
        <v>12</v>
      </c>
      <c r="F79" s="9">
        <v>1887.0</v>
      </c>
      <c r="G79" s="1"/>
      <c r="H79" s="9">
        <v>2017.0</v>
      </c>
      <c r="I79" s="9">
        <v>1923.0</v>
      </c>
      <c r="J79" s="9" t="s">
        <v>217</v>
      </c>
      <c r="K79" s="9" t="s">
        <v>12</v>
      </c>
      <c r="L79" s="14" t="s">
        <v>12</v>
      </c>
      <c r="M79" s="9" t="s">
        <v>218</v>
      </c>
    </row>
    <row r="80">
      <c r="A80" s="4" t="str">
        <f>hyperlink("http://historiamujeres.es/mujerb.html#Bayo","Bayo Lozano, Eloísa")</f>
        <v>Bayo Lozano, Eloísa</v>
      </c>
      <c r="B80" s="1" t="s">
        <v>12</v>
      </c>
      <c r="C80" s="1" t="s">
        <v>27</v>
      </c>
      <c r="D80" s="1" t="s">
        <v>12</v>
      </c>
      <c r="E80" s="1" t="s">
        <v>129</v>
      </c>
      <c r="F80" s="5">
        <v>1955.0</v>
      </c>
      <c r="G80" s="6" t="s">
        <v>17</v>
      </c>
      <c r="H80" s="1" t="s">
        <v>12</v>
      </c>
      <c r="I80" s="1" t="s">
        <v>12</v>
      </c>
      <c r="J80" s="1" t="s">
        <v>219</v>
      </c>
      <c r="K80" s="1" t="s">
        <v>12</v>
      </c>
      <c r="L80" s="3" t="s">
        <v>12</v>
      </c>
      <c r="M80" s="1" t="s">
        <v>220</v>
      </c>
    </row>
    <row r="81">
      <c r="A81" s="4" t="str">
        <f>hyperlink("http://historiamujeres.es/mujerb.html#Baza","Baza, Dama de")</f>
        <v>Baza, Dama de</v>
      </c>
      <c r="B81" s="1" t="s">
        <v>221</v>
      </c>
      <c r="C81" s="1" t="s">
        <v>222</v>
      </c>
      <c r="D81" s="1" t="s">
        <v>12</v>
      </c>
      <c r="E81" s="23" t="s">
        <v>223</v>
      </c>
      <c r="F81" s="5">
        <v>-375.0</v>
      </c>
      <c r="G81" s="6" t="s">
        <v>17</v>
      </c>
      <c r="H81" s="1" t="s">
        <v>12</v>
      </c>
      <c r="I81" s="1" t="s">
        <v>12</v>
      </c>
      <c r="J81" s="1" t="s">
        <v>224</v>
      </c>
      <c r="K81" s="9" t="s">
        <v>225</v>
      </c>
      <c r="L81" s="3" t="s">
        <v>12</v>
      </c>
      <c r="M81" s="1" t="s">
        <v>12</v>
      </c>
    </row>
    <row r="82">
      <c r="A82" s="4" t="str">
        <f>hyperlink("http://historiamujeres.es/mujerb.html#Beatas","Beatas en la Sevilla del S. XVI, Las")</f>
        <v>Beatas en la Sevilla del S. XVI, Las</v>
      </c>
      <c r="B82" s="1" t="s">
        <v>12</v>
      </c>
      <c r="C82" s="1" t="s">
        <v>27</v>
      </c>
      <c r="D82" s="1" t="s">
        <v>12</v>
      </c>
      <c r="E82" s="1" t="s">
        <v>12</v>
      </c>
      <c r="F82" s="5">
        <v>1550.0</v>
      </c>
      <c r="G82" s="6" t="s">
        <v>43</v>
      </c>
      <c r="H82" s="6">
        <v>1629.0</v>
      </c>
      <c r="I82" s="1">
        <v>1624.0</v>
      </c>
      <c r="J82" s="1" t="s">
        <v>226</v>
      </c>
      <c r="K82" s="1" t="s">
        <v>48</v>
      </c>
      <c r="L82" s="3" t="s">
        <v>12</v>
      </c>
      <c r="M82" s="1" t="s">
        <v>12</v>
      </c>
    </row>
    <row r="83">
      <c r="A83" s="4" t="str">
        <f>hyperlink("http://historiamujeres.es/mujerf.html#FRANCISCANASpo","Beaterio de Terciaria")</f>
        <v>Beaterio de Terciaria</v>
      </c>
      <c r="B83" s="1" t="s">
        <v>227</v>
      </c>
      <c r="C83" s="1" t="s">
        <v>27</v>
      </c>
      <c r="D83" s="1" t="s">
        <v>12</v>
      </c>
      <c r="E83" s="1" t="s">
        <v>12</v>
      </c>
      <c r="F83" s="2">
        <v>1667.0</v>
      </c>
      <c r="G83" s="1" t="s">
        <v>12</v>
      </c>
      <c r="H83" s="1" t="s">
        <v>12</v>
      </c>
      <c r="I83" s="1" t="s">
        <v>12</v>
      </c>
      <c r="J83" s="1" t="s">
        <v>228</v>
      </c>
      <c r="K83" s="1" t="s">
        <v>229</v>
      </c>
      <c r="L83" s="3" t="s">
        <v>12</v>
      </c>
      <c r="M83" s="1" t="s">
        <v>230</v>
      </c>
    </row>
    <row r="84">
      <c r="A84" s="24" t="s">
        <v>231</v>
      </c>
      <c r="B84" s="1" t="s">
        <v>12</v>
      </c>
      <c r="C84" s="9" t="s">
        <v>232</v>
      </c>
      <c r="D84" s="9" t="s">
        <v>233</v>
      </c>
      <c r="E84" s="9" t="s">
        <v>26</v>
      </c>
      <c r="F84" s="9">
        <v>1908.0</v>
      </c>
      <c r="G84" s="1" t="s">
        <v>12</v>
      </c>
      <c r="H84" s="9">
        <v>1986.0</v>
      </c>
      <c r="I84" s="1" t="s">
        <v>12</v>
      </c>
      <c r="J84" s="9" t="s">
        <v>234</v>
      </c>
      <c r="K84" s="9" t="s">
        <v>80</v>
      </c>
      <c r="L84" s="19" t="s">
        <v>235</v>
      </c>
      <c r="M84" s="9" t="s">
        <v>236</v>
      </c>
    </row>
    <row r="85">
      <c r="A85" s="4" t="str">
        <f>hyperlink("http://historiamujeres.es/mujerb.html#BECERRIL","Becerril Bustamante, Soledad")</f>
        <v>Becerril Bustamante, Soledad</v>
      </c>
      <c r="B85" s="1" t="s">
        <v>12</v>
      </c>
      <c r="C85" s="1" t="s">
        <v>68</v>
      </c>
      <c r="D85" s="1" t="s">
        <v>27</v>
      </c>
      <c r="E85" s="1" t="s">
        <v>12</v>
      </c>
      <c r="F85" s="2">
        <v>1944.0</v>
      </c>
      <c r="G85" s="1" t="s">
        <v>12</v>
      </c>
      <c r="H85" s="1" t="s">
        <v>12</v>
      </c>
      <c r="I85" s="1" t="s">
        <v>12</v>
      </c>
      <c r="J85" s="1" t="s">
        <v>237</v>
      </c>
      <c r="K85" s="1" t="s">
        <v>12</v>
      </c>
      <c r="L85" s="3" t="s">
        <v>12</v>
      </c>
      <c r="M85" s="1" t="s">
        <v>12</v>
      </c>
    </row>
    <row r="86">
      <c r="A86" s="4" t="str">
        <f>hyperlink("http://historiamujeres.es/mujerb.html#BELLIDO","Bellido Vallejo, María Inés Juliana")</f>
        <v>Bellido Vallejo, María Inés Juliana</v>
      </c>
      <c r="B86" s="1" t="s">
        <v>238</v>
      </c>
      <c r="C86" s="1" t="s">
        <v>239</v>
      </c>
      <c r="D86" s="1" t="s">
        <v>12</v>
      </c>
      <c r="E86" s="1" t="s">
        <v>12</v>
      </c>
      <c r="F86" s="2">
        <v>1755.0</v>
      </c>
      <c r="G86" s="1" t="s">
        <v>12</v>
      </c>
      <c r="H86" s="1">
        <v>1809.0</v>
      </c>
      <c r="I86" s="1" t="s">
        <v>12</v>
      </c>
      <c r="J86" s="1" t="s">
        <v>240</v>
      </c>
      <c r="K86" s="1" t="s">
        <v>241</v>
      </c>
      <c r="L86" s="3" t="s">
        <v>12</v>
      </c>
      <c r="M86" s="1" t="s">
        <v>12</v>
      </c>
    </row>
    <row r="87">
      <c r="A87" s="4" t="str">
        <f>hyperlink("http://historiamujeres.es/mujerb.html#Benavides","Benavides y Sotelo, Sinforosa de")</f>
        <v>Benavides y Sotelo, Sinforosa de</v>
      </c>
      <c r="B87" s="1" t="s">
        <v>12</v>
      </c>
      <c r="C87" s="1" t="s">
        <v>12</v>
      </c>
      <c r="D87" s="1" t="s">
        <v>12</v>
      </c>
      <c r="E87" s="1" t="s">
        <v>27</v>
      </c>
      <c r="F87" s="5">
        <v>1650.0</v>
      </c>
      <c r="G87" s="6" t="s">
        <v>43</v>
      </c>
      <c r="H87" s="6">
        <v>1710.0</v>
      </c>
      <c r="I87" s="1">
        <v>1680.0</v>
      </c>
      <c r="J87" s="1" t="s">
        <v>216</v>
      </c>
      <c r="K87" s="1" t="s">
        <v>242</v>
      </c>
      <c r="L87" s="3" t="s">
        <v>12</v>
      </c>
    </row>
    <row r="88">
      <c r="A88" s="4" t="str">
        <f>hyperlink("http://historiamujeres.es/mujerb.html#Benilda","Benilda, Santa")</f>
        <v>Benilda, Santa</v>
      </c>
      <c r="B88" s="1" t="s">
        <v>12</v>
      </c>
      <c r="C88" s="1" t="s">
        <v>12</v>
      </c>
      <c r="D88" s="1" t="s">
        <v>24</v>
      </c>
      <c r="E88" s="1" t="s">
        <v>12</v>
      </c>
      <c r="F88" s="5">
        <v>820.0</v>
      </c>
      <c r="G88" s="6" t="s">
        <v>17</v>
      </c>
      <c r="H88" s="1">
        <v>853.0</v>
      </c>
      <c r="I88" s="1" t="s">
        <v>12</v>
      </c>
      <c r="J88" s="1" t="s">
        <v>243</v>
      </c>
      <c r="K88" s="1" t="s">
        <v>12</v>
      </c>
      <c r="L88" s="3" t="s">
        <v>12</v>
      </c>
      <c r="M88" s="1" t="s">
        <v>72</v>
      </c>
    </row>
    <row r="89">
      <c r="A89" s="4" t="str">
        <f>hyperlink("http://historiamujeres.es/mujerb.html#Bermejo","Bermejo Grueso, Josefa")</f>
        <v>Bermejo Grueso, Josefa</v>
      </c>
      <c r="B89" s="1" t="s">
        <v>244</v>
      </c>
      <c r="C89" s="9" t="s">
        <v>245</v>
      </c>
      <c r="D89" s="9" t="s">
        <v>246</v>
      </c>
      <c r="E89" s="1" t="s">
        <v>247</v>
      </c>
      <c r="F89" s="5">
        <v>1915.0</v>
      </c>
      <c r="G89" s="25" t="s">
        <v>17</v>
      </c>
      <c r="H89" s="9">
        <v>1991.0</v>
      </c>
      <c r="I89" s="1">
        <v>1944.0</v>
      </c>
      <c r="J89" s="1" t="s">
        <v>248</v>
      </c>
      <c r="K89" s="1" t="s">
        <v>12</v>
      </c>
      <c r="L89" s="3" t="s">
        <v>12</v>
      </c>
      <c r="M89" s="1" t="s">
        <v>12</v>
      </c>
    </row>
    <row r="90">
      <c r="A90" s="7" t="str">
        <f>hyperlink("http://historiamujeres.es/mujerb.html#Bernarda_cono","Bernarda, El Coño de la")</f>
        <v>Bernarda, El Coño de la</v>
      </c>
      <c r="B90" s="1" t="s">
        <v>12</v>
      </c>
      <c r="C90" s="26" t="s">
        <v>249</v>
      </c>
      <c r="D90" s="26" t="s">
        <v>250</v>
      </c>
      <c r="E90" s="9" t="s">
        <v>251</v>
      </c>
      <c r="F90" s="27">
        <v>1525.0</v>
      </c>
      <c r="G90" s="25" t="s">
        <v>43</v>
      </c>
      <c r="H90" s="25">
        <v>1573.0</v>
      </c>
      <c r="I90" s="1" t="s">
        <v>12</v>
      </c>
      <c r="J90" s="9" t="s">
        <v>252</v>
      </c>
      <c r="K90" s="1" t="s">
        <v>12</v>
      </c>
      <c r="L90" s="3" t="s">
        <v>12</v>
      </c>
      <c r="M90" s="9" t="s">
        <v>253</v>
      </c>
    </row>
    <row r="91">
      <c r="A91" s="4" t="str">
        <f>hyperlink("http://historiamujeres.es/mujern.html#Ninaa","Berrús Martínez, María")</f>
        <v>Berrús Martínez, María</v>
      </c>
      <c r="B91" s="1" t="s">
        <v>254</v>
      </c>
      <c r="C91" s="1" t="s">
        <v>255</v>
      </c>
      <c r="D91" s="1" t="s">
        <v>27</v>
      </c>
      <c r="E91" s="1" t="s">
        <v>12</v>
      </c>
      <c r="F91" s="2">
        <v>1920.0</v>
      </c>
      <c r="G91" s="1" t="s">
        <v>12</v>
      </c>
      <c r="H91" s="1">
        <v>1972.0</v>
      </c>
      <c r="I91" s="1" t="s">
        <v>12</v>
      </c>
      <c r="J91" s="1" t="s">
        <v>51</v>
      </c>
      <c r="K91" s="1" t="s">
        <v>12</v>
      </c>
      <c r="L91" s="3" t="s">
        <v>12</v>
      </c>
      <c r="M91" s="1" t="s">
        <v>12</v>
      </c>
    </row>
    <row r="92">
      <c r="A92" s="7" t="str">
        <f>hyperlink("http://historiamujeres.es/mujerb.html#Betica","Bética, Mujeres Malagueñas en la")</f>
        <v>Bética, Mujeres Malagueñas en la</v>
      </c>
      <c r="B92" s="1" t="s">
        <v>12</v>
      </c>
      <c r="C92" s="9" t="s">
        <v>98</v>
      </c>
      <c r="D92" s="9" t="s">
        <v>98</v>
      </c>
      <c r="E92" s="9" t="s">
        <v>27</v>
      </c>
      <c r="F92" s="27">
        <v>100.0</v>
      </c>
      <c r="G92" s="6" t="s">
        <v>43</v>
      </c>
      <c r="H92" s="25">
        <v>300.0</v>
      </c>
      <c r="I92" s="1" t="s">
        <v>12</v>
      </c>
      <c r="J92" s="9" t="s">
        <v>14</v>
      </c>
      <c r="K92" s="9" t="s">
        <v>256</v>
      </c>
      <c r="L92" s="19" t="s">
        <v>257</v>
      </c>
      <c r="M92" s="1"/>
    </row>
    <row r="93">
      <c r="A93" s="4" t="str">
        <f>hyperlink("http://historiamujeres.es/mujerb.html#Biedma","Biedma y la Moneda, Patrocinio de")</f>
        <v>Biedma y la Moneda, Patrocinio de</v>
      </c>
      <c r="B93" s="1" t="s">
        <v>12</v>
      </c>
      <c r="C93" s="1" t="s">
        <v>258</v>
      </c>
      <c r="D93" s="1" t="s">
        <v>205</v>
      </c>
      <c r="E93" s="1" t="s">
        <v>12</v>
      </c>
      <c r="F93" s="2">
        <v>1858.0</v>
      </c>
      <c r="G93" s="1" t="s">
        <v>12</v>
      </c>
      <c r="H93" s="1">
        <v>1927.0</v>
      </c>
      <c r="I93" s="1" t="s">
        <v>12</v>
      </c>
      <c r="J93" s="1" t="s">
        <v>113</v>
      </c>
      <c r="K93" s="1" t="s">
        <v>12</v>
      </c>
      <c r="L93" s="3" t="s">
        <v>12</v>
      </c>
      <c r="M93" s="1" t="s">
        <v>12</v>
      </c>
    </row>
    <row r="94">
      <c r="A94" s="4" t="str">
        <f>hyperlink("http://historiamujeres.es/mujerb.html#BLANCA","Blanca de Borbón")</f>
        <v>Blanca de Borbón</v>
      </c>
      <c r="B94" s="1" t="s">
        <v>12</v>
      </c>
      <c r="C94" s="1" t="s">
        <v>259</v>
      </c>
      <c r="D94" s="1" t="s">
        <v>12</v>
      </c>
      <c r="E94" s="1" t="s">
        <v>12</v>
      </c>
      <c r="F94" s="5">
        <v>1338.0</v>
      </c>
      <c r="G94" s="6" t="s">
        <v>17</v>
      </c>
      <c r="H94" s="1">
        <v>1361.0</v>
      </c>
      <c r="I94" s="1" t="s">
        <v>12</v>
      </c>
      <c r="J94" s="1" t="s">
        <v>260</v>
      </c>
      <c r="K94" s="1" t="s">
        <v>12</v>
      </c>
      <c r="L94" s="3" t="s">
        <v>12</v>
      </c>
      <c r="M94" s="1" t="s">
        <v>12</v>
      </c>
    </row>
    <row r="95">
      <c r="A95" s="4" t="str">
        <f>hyperlink("http://historiamujeres.es/mujert.html#Tiaan","Blanca Soto, Ana")</f>
        <v>Blanca Soto, Ana</v>
      </c>
      <c r="B95" s="1" t="s">
        <v>261</v>
      </c>
      <c r="C95" s="1" t="s">
        <v>262</v>
      </c>
      <c r="D95" s="1" t="s">
        <v>262</v>
      </c>
      <c r="E95" s="1" t="s">
        <v>12</v>
      </c>
      <c r="F95" s="2">
        <v>1899.0</v>
      </c>
      <c r="G95" s="1" t="s">
        <v>12</v>
      </c>
      <c r="H95" s="1">
        <v>1987.0</v>
      </c>
      <c r="I95" s="1" t="s">
        <v>12</v>
      </c>
      <c r="J95" s="1" t="s">
        <v>69</v>
      </c>
      <c r="K95" s="1" t="s">
        <v>12</v>
      </c>
      <c r="L95" s="3" t="s">
        <v>12</v>
      </c>
      <c r="M95" s="1" t="s">
        <v>263</v>
      </c>
    </row>
    <row r="96">
      <c r="A96" s="24" t="s">
        <v>264</v>
      </c>
      <c r="B96" s="9" t="s">
        <v>12</v>
      </c>
      <c r="C96" s="28" t="s">
        <v>205</v>
      </c>
      <c r="D96" s="28" t="s">
        <v>205</v>
      </c>
      <c r="E96" s="9" t="s">
        <v>12</v>
      </c>
      <c r="F96" s="15">
        <v>1901.0</v>
      </c>
      <c r="G96" s="9" t="s">
        <v>12</v>
      </c>
      <c r="H96" s="9">
        <v>1931.0</v>
      </c>
      <c r="I96" s="9" t="s">
        <v>12</v>
      </c>
      <c r="J96" s="9" t="s">
        <v>265</v>
      </c>
      <c r="K96" s="9" t="s">
        <v>266</v>
      </c>
      <c r="L96" s="14" t="s">
        <v>12</v>
      </c>
      <c r="M96" s="9" t="s">
        <v>267</v>
      </c>
    </row>
    <row r="97">
      <c r="A97" s="11" t="str">
        <f>hyperlink("http://historiamujeres.es/mujerb.html#Blanes","Blanes Escamilla, Juana")</f>
        <v>Blanes Escamilla, Juana</v>
      </c>
      <c r="B97" s="9" t="s">
        <v>12</v>
      </c>
      <c r="C97" s="9" t="s">
        <v>268</v>
      </c>
      <c r="D97" s="9" t="s">
        <v>12</v>
      </c>
      <c r="E97" s="9" t="s">
        <v>12</v>
      </c>
      <c r="F97" s="15">
        <v>1897.0</v>
      </c>
      <c r="G97" s="13" t="s">
        <v>92</v>
      </c>
      <c r="H97" s="9" t="s">
        <v>12</v>
      </c>
      <c r="I97" s="9" t="s">
        <v>12</v>
      </c>
      <c r="J97" s="9" t="s">
        <v>269</v>
      </c>
      <c r="K97" s="9" t="s">
        <v>270</v>
      </c>
      <c r="L97" s="14" t="s">
        <v>271</v>
      </c>
      <c r="M97" s="9" t="s">
        <v>272</v>
      </c>
    </row>
    <row r="98">
      <c r="A98" s="4" t="str">
        <f>hyperlink("http://historiamujeres.es/mujerb.html#Bohl","Böhl von Faber y Lárrea, Cecilia")</f>
        <v>Böhl von Faber y Lárrea, Cecilia</v>
      </c>
      <c r="B98" s="1" t="s">
        <v>273</v>
      </c>
      <c r="C98" s="1" t="s">
        <v>274</v>
      </c>
      <c r="D98" s="1" t="s">
        <v>27</v>
      </c>
      <c r="E98" s="1" t="s">
        <v>12</v>
      </c>
      <c r="F98" s="2">
        <v>1796.0</v>
      </c>
      <c r="G98" s="1" t="s">
        <v>12</v>
      </c>
      <c r="H98" s="1">
        <v>1877.0</v>
      </c>
      <c r="I98" s="1" t="s">
        <v>12</v>
      </c>
      <c r="J98" s="1" t="s">
        <v>113</v>
      </c>
      <c r="K98" s="1" t="s">
        <v>12</v>
      </c>
      <c r="L98" s="3" t="s">
        <v>12</v>
      </c>
      <c r="M98" s="1" t="s">
        <v>275</v>
      </c>
    </row>
    <row r="99">
      <c r="A99" s="4" t="str">
        <f>hyperlink("http://historiamujeres.es/mujerb.html#Mar%EDa_Bohorques_o_Boh%F3rquez","Bohorques (o Bohórquez), María")</f>
        <v>Bohorques (o Bohórquez), María</v>
      </c>
      <c r="B99" s="1" t="s">
        <v>12</v>
      </c>
      <c r="C99" s="1" t="s">
        <v>12</v>
      </c>
      <c r="D99" s="1" t="s">
        <v>27</v>
      </c>
      <c r="E99" s="1" t="s">
        <v>12</v>
      </c>
      <c r="F99" s="2">
        <v>1538.0</v>
      </c>
      <c r="G99" s="18" t="s">
        <v>12</v>
      </c>
      <c r="H99" s="1">
        <v>1559.0</v>
      </c>
      <c r="I99" s="1" t="s">
        <v>12</v>
      </c>
      <c r="J99" s="1" t="s">
        <v>199</v>
      </c>
      <c r="K99" s="1" t="s">
        <v>200</v>
      </c>
      <c r="L99" s="3" t="s">
        <v>12</v>
      </c>
      <c r="M99" s="1" t="s">
        <v>12</v>
      </c>
    </row>
    <row r="100">
      <c r="A100" s="4" t="str">
        <f>hyperlink("http://historiamujeres.es/mujerb.html#bonald","Bonald, Blanca de")</f>
        <v>Bonald, Blanca de</v>
      </c>
      <c r="B100" s="1" t="s">
        <v>12</v>
      </c>
      <c r="C100" s="1" t="s">
        <v>129</v>
      </c>
      <c r="D100" s="1" t="s">
        <v>12</v>
      </c>
      <c r="E100" s="1" t="s">
        <v>12</v>
      </c>
      <c r="F100" s="2">
        <v>1941.0</v>
      </c>
      <c r="G100" s="1" t="s">
        <v>12</v>
      </c>
      <c r="H100" s="1" t="s">
        <v>12</v>
      </c>
      <c r="I100" s="1" t="s">
        <v>12</v>
      </c>
      <c r="J100" s="1" t="s">
        <v>65</v>
      </c>
      <c r="K100" s="1" t="s">
        <v>12</v>
      </c>
      <c r="L100" s="3" t="s">
        <v>12</v>
      </c>
      <c r="M100" s="1" t="s">
        <v>276</v>
      </c>
    </row>
    <row r="101">
      <c r="A101" s="4" t="str">
        <f>hyperlink("http://historiamujeres.es/mujerm.html#Mariaan","Borbón y Farnesio, María Antonia Fernanda de")</f>
        <v>Borbón y Farnesio, María Antonia Fernanda de</v>
      </c>
      <c r="B101" s="1" t="s">
        <v>12</v>
      </c>
      <c r="C101" s="1" t="s">
        <v>27</v>
      </c>
      <c r="D101" s="1" t="s">
        <v>277</v>
      </c>
      <c r="E101" s="1" t="s">
        <v>12</v>
      </c>
      <c r="F101" s="2">
        <v>1729.0</v>
      </c>
      <c r="G101" s="1" t="s">
        <v>12</v>
      </c>
      <c r="H101" s="1">
        <v>1785.0</v>
      </c>
      <c r="I101" s="1" t="s">
        <v>12</v>
      </c>
      <c r="J101" s="1" t="s">
        <v>75</v>
      </c>
      <c r="K101" s="1" t="s">
        <v>12</v>
      </c>
      <c r="L101" s="3" t="s">
        <v>12</v>
      </c>
      <c r="M101" s="1" t="s">
        <v>278</v>
      </c>
    </row>
    <row r="102">
      <c r="A102" s="4" t="str">
        <f>hyperlink("http://historiamujeres.es/mujerm.html#Maram","Borbón y Orleáns, María de las Mercedes de")</f>
        <v>Borbón y Orleáns, María de las Mercedes de</v>
      </c>
      <c r="B102" s="1" t="s">
        <v>12</v>
      </c>
      <c r="C102" s="1" t="s">
        <v>68</v>
      </c>
      <c r="D102" s="1" t="s">
        <v>279</v>
      </c>
      <c r="E102" s="1" t="s">
        <v>12</v>
      </c>
      <c r="F102" s="2">
        <v>1910.0</v>
      </c>
      <c r="G102" s="1" t="s">
        <v>12</v>
      </c>
      <c r="H102" s="1">
        <v>2000.0</v>
      </c>
      <c r="I102" s="1" t="s">
        <v>12</v>
      </c>
      <c r="J102" s="1" t="s">
        <v>280</v>
      </c>
      <c r="K102" s="1" t="s">
        <v>12</v>
      </c>
      <c r="L102" s="3" t="s">
        <v>12</v>
      </c>
      <c r="M102" s="1" t="s">
        <v>281</v>
      </c>
    </row>
    <row r="103">
      <c r="A103" s="4" t="str">
        <f>hyperlink("http://historiamujeres.es/mujerb.html#Borras","Borrás Philips, María")</f>
        <v>Borrás Philips, María</v>
      </c>
      <c r="B103" s="1" t="s">
        <v>12</v>
      </c>
      <c r="C103" s="1" t="s">
        <v>141</v>
      </c>
      <c r="D103" s="1" t="s">
        <v>12</v>
      </c>
      <c r="E103" s="1" t="s">
        <v>26</v>
      </c>
      <c r="F103" s="16">
        <v>1898.0</v>
      </c>
      <c r="G103" s="17" t="s">
        <v>12</v>
      </c>
      <c r="H103" s="17" t="s">
        <v>12</v>
      </c>
      <c r="I103" s="1">
        <v>1940.0</v>
      </c>
      <c r="J103" s="1" t="s">
        <v>282</v>
      </c>
      <c r="K103" s="1" t="s">
        <v>139</v>
      </c>
      <c r="L103" s="3" t="s">
        <v>12</v>
      </c>
      <c r="M103" s="1" t="s">
        <v>12</v>
      </c>
    </row>
    <row r="104">
      <c r="A104" s="4" t="str">
        <f>hyperlink("http://historiamujeres.es/mujerb.html#Boy","Boy Martínez, Concepción")</f>
        <v>Boy Martínez, Concepción</v>
      </c>
      <c r="B104" s="1" t="s">
        <v>12</v>
      </c>
      <c r="C104" s="1" t="s">
        <v>12</v>
      </c>
      <c r="D104" s="1" t="s">
        <v>12</v>
      </c>
      <c r="E104" s="1" t="s">
        <v>283</v>
      </c>
      <c r="F104" s="5">
        <v>1940.0</v>
      </c>
      <c r="G104" s="6" t="s">
        <v>17</v>
      </c>
      <c r="H104" s="1" t="s">
        <v>12</v>
      </c>
      <c r="I104" s="1">
        <v>1995.0</v>
      </c>
      <c r="J104" s="1" t="s">
        <v>12</v>
      </c>
      <c r="K104" s="1" t="s">
        <v>12</v>
      </c>
      <c r="L104" s="3" t="s">
        <v>12</v>
      </c>
      <c r="M104" s="1" t="s">
        <v>284</v>
      </c>
    </row>
    <row r="105">
      <c r="A105" s="7" t="str">
        <f>hyperlink("http://historiamujeres.es/mujerb.html#Brujas","Brujas de Montilla")</f>
        <v>Brujas de Montilla</v>
      </c>
      <c r="B105" s="9" t="s">
        <v>12</v>
      </c>
      <c r="C105" s="9" t="s">
        <v>85</v>
      </c>
      <c r="D105" s="9" t="s">
        <v>12</v>
      </c>
      <c r="E105" s="9" t="s">
        <v>12</v>
      </c>
      <c r="F105" s="12">
        <v>1520.0</v>
      </c>
      <c r="G105" s="13" t="s">
        <v>43</v>
      </c>
      <c r="H105" s="13">
        <v>1599.0</v>
      </c>
      <c r="I105" s="9" t="s">
        <v>12</v>
      </c>
      <c r="J105" s="9" t="s">
        <v>48</v>
      </c>
      <c r="K105" s="9" t="s">
        <v>285</v>
      </c>
      <c r="L105" s="19" t="s">
        <v>12</v>
      </c>
      <c r="M105" s="1"/>
    </row>
    <row r="106">
      <c r="A106" s="4" t="str">
        <f>hyperlink("http://historiamujeres.es/mujerb.html#Brunekh","Brunekhilda")</f>
        <v>Brunekhilda</v>
      </c>
      <c r="B106" s="1" t="s">
        <v>12</v>
      </c>
      <c r="C106" s="1" t="s">
        <v>27</v>
      </c>
      <c r="D106" s="1" t="s">
        <v>12</v>
      </c>
      <c r="E106" s="1" t="s">
        <v>12</v>
      </c>
      <c r="F106" s="2">
        <v>547.0</v>
      </c>
      <c r="G106" s="1" t="s">
        <v>12</v>
      </c>
      <c r="H106" s="1">
        <v>613.0</v>
      </c>
      <c r="I106" s="1" t="s">
        <v>12</v>
      </c>
      <c r="J106" s="1" t="s">
        <v>286</v>
      </c>
      <c r="K106" s="1" t="s">
        <v>12</v>
      </c>
      <c r="L106" s="3" t="s">
        <v>12</v>
      </c>
      <c r="M106" s="1" t="s">
        <v>287</v>
      </c>
    </row>
    <row r="107">
      <c r="A107" s="4" t="str">
        <f>hyperlink("http://historiamujeres.es/mujerr.html#Rossetti","Bueno de la Peña, Ana")</f>
        <v>Bueno de la Peña, Ana</v>
      </c>
      <c r="B107" s="1" t="s">
        <v>288</v>
      </c>
      <c r="C107" s="1" t="s">
        <v>191</v>
      </c>
      <c r="D107" s="1" t="s">
        <v>12</v>
      </c>
      <c r="E107" s="1" t="s">
        <v>12</v>
      </c>
      <c r="F107" s="2">
        <v>1950.0</v>
      </c>
      <c r="G107" s="1" t="s">
        <v>12</v>
      </c>
      <c r="H107" s="1" t="s">
        <v>12</v>
      </c>
      <c r="I107" s="1" t="s">
        <v>12</v>
      </c>
      <c r="J107" s="1" t="s">
        <v>289</v>
      </c>
      <c r="K107" s="1" t="s">
        <v>12</v>
      </c>
      <c r="L107" s="3" t="s">
        <v>12</v>
      </c>
      <c r="M107" s="1" t="s">
        <v>36</v>
      </c>
    </row>
    <row r="108">
      <c r="A108" s="4" t="str">
        <f>hyperlink("http://historiamujeres.es/mujerc.html#Colombine","Burgos y Seguí, Carmen de")</f>
        <v>Burgos y Seguí, Carmen de</v>
      </c>
      <c r="B108" s="1" t="s">
        <v>290</v>
      </c>
      <c r="C108" s="1" t="s">
        <v>291</v>
      </c>
      <c r="D108" s="1" t="s">
        <v>68</v>
      </c>
      <c r="E108" s="1" t="s">
        <v>12</v>
      </c>
      <c r="F108" s="2">
        <v>1867.0</v>
      </c>
      <c r="G108" s="1" t="s">
        <v>12</v>
      </c>
      <c r="H108" s="1">
        <v>1932.0</v>
      </c>
      <c r="I108" s="1" t="s">
        <v>12</v>
      </c>
      <c r="J108" s="1" t="s">
        <v>292</v>
      </c>
      <c r="K108" s="1" t="s">
        <v>60</v>
      </c>
      <c r="L108" s="3" t="s">
        <v>56</v>
      </c>
      <c r="M108" s="1" t="s">
        <v>293</v>
      </c>
    </row>
    <row r="109">
      <c r="A109" s="4" t="str">
        <f>hyperlink("http://historiamujeres.es/mujerb.html#Butler","Butler y Mendieta, Rosa")</f>
        <v>Butler y Mendieta, Rosa</v>
      </c>
      <c r="B109" s="1" t="s">
        <v>12</v>
      </c>
      <c r="C109" s="1" t="s">
        <v>64</v>
      </c>
      <c r="D109" s="1" t="s">
        <v>12</v>
      </c>
      <c r="E109" s="1" t="s">
        <v>294</v>
      </c>
      <c r="F109" s="16">
        <v>1821.0</v>
      </c>
      <c r="G109" s="6" t="s">
        <v>92</v>
      </c>
      <c r="H109" s="6">
        <v>1890.0</v>
      </c>
      <c r="I109" s="1" t="s">
        <v>12</v>
      </c>
      <c r="J109" s="1" t="s">
        <v>113</v>
      </c>
      <c r="K109" s="1" t="s">
        <v>12</v>
      </c>
      <c r="L109" s="3" t="s">
        <v>12</v>
      </c>
      <c r="M109" s="1" t="s">
        <v>12</v>
      </c>
    </row>
    <row r="110">
      <c r="A110" s="7" t="str">
        <f>hyperlink("http://historiamujeres.es/mujerc.html#Caballero_delgado","Caballero Delgado, Concepción")</f>
        <v>Caballero Delgado, Concepción</v>
      </c>
      <c r="B110" s="9" t="s">
        <v>295</v>
      </c>
      <c r="C110" s="9" t="s">
        <v>296</v>
      </c>
      <c r="D110" s="9" t="s">
        <v>27</v>
      </c>
      <c r="E110" s="9" t="s">
        <v>12</v>
      </c>
      <c r="F110" s="29">
        <v>1956.0</v>
      </c>
      <c r="G110" s="21"/>
      <c r="H110" s="21">
        <v>2015.0</v>
      </c>
      <c r="I110" s="9" t="s">
        <v>12</v>
      </c>
      <c r="J110" s="9" t="s">
        <v>297</v>
      </c>
      <c r="K110" s="9" t="s">
        <v>12</v>
      </c>
      <c r="L110" s="19" t="s">
        <v>12</v>
      </c>
      <c r="M110" s="9" t="s">
        <v>298</v>
      </c>
    </row>
    <row r="111">
      <c r="A111" s="4" t="str">
        <f>hyperlink("http://historiamujeres.es/mujerc.html#Cabanas","Cabañas Casanas, Antonia")</f>
        <v>Cabañas Casanas, Antonia</v>
      </c>
      <c r="B111" s="1" t="s">
        <v>12</v>
      </c>
      <c r="C111" s="1" t="s">
        <v>12</v>
      </c>
      <c r="D111" s="1" t="s">
        <v>205</v>
      </c>
      <c r="E111" s="1" t="s">
        <v>12</v>
      </c>
      <c r="F111" s="16">
        <v>1904.0</v>
      </c>
      <c r="G111" s="17" t="s">
        <v>12</v>
      </c>
      <c r="H111" s="1">
        <v>1936.0</v>
      </c>
      <c r="I111" s="1" t="s">
        <v>12</v>
      </c>
      <c r="J111" s="1" t="s">
        <v>299</v>
      </c>
      <c r="K111" s="1" t="s">
        <v>300</v>
      </c>
      <c r="L111" s="3" t="s">
        <v>301</v>
      </c>
      <c r="M111" s="1" t="s">
        <v>12</v>
      </c>
    </row>
    <row r="112">
      <c r="A112" s="4" t="str">
        <f>hyperlink("http://historiamujeres.es/mujerc.html#Cabello","Cabello Cabello, Matilde")</f>
        <v>Cabello Cabello, Matilde</v>
      </c>
      <c r="B112" s="1" t="s">
        <v>12</v>
      </c>
      <c r="C112" s="1" t="s">
        <v>302</v>
      </c>
      <c r="D112" s="1" t="s">
        <v>12</v>
      </c>
      <c r="E112" s="1" t="s">
        <v>24</v>
      </c>
      <c r="F112" s="2">
        <v>1956.0</v>
      </c>
      <c r="G112" s="1" t="s">
        <v>12</v>
      </c>
      <c r="H112" s="1" t="s">
        <v>12</v>
      </c>
      <c r="I112" s="1" t="s">
        <v>12</v>
      </c>
      <c r="J112" s="1" t="s">
        <v>303</v>
      </c>
      <c r="K112" s="1" t="s">
        <v>304</v>
      </c>
      <c r="L112" s="3" t="s">
        <v>22</v>
      </c>
      <c r="M112" s="1" t="s">
        <v>12</v>
      </c>
    </row>
    <row r="113">
      <c r="A113" s="4" t="str">
        <f>hyperlink("http://historiamujeres.es/mujerc.html#Cabrera","Cabrera Martínez, María Lourdes")</f>
        <v>Cabrera Martínez, María Lourdes</v>
      </c>
      <c r="B113" s="1" t="s">
        <v>12</v>
      </c>
      <c r="C113" s="1" t="s">
        <v>12</v>
      </c>
      <c r="D113" s="1" t="s">
        <v>12</v>
      </c>
      <c r="E113" s="1" t="s">
        <v>27</v>
      </c>
      <c r="F113" s="5">
        <v>1940.0</v>
      </c>
      <c r="G113" s="6" t="s">
        <v>17</v>
      </c>
      <c r="H113" s="1" t="s">
        <v>12</v>
      </c>
      <c r="I113" s="1" t="s">
        <v>12</v>
      </c>
      <c r="J113" s="1" t="s">
        <v>305</v>
      </c>
      <c r="K113" s="1" t="s">
        <v>12</v>
      </c>
      <c r="L113" s="3" t="s">
        <v>12</v>
      </c>
      <c r="M113" s="1" t="s">
        <v>276</v>
      </c>
    </row>
    <row r="114">
      <c r="A114" s="11" t="str">
        <f>hyperlink("http://historiamujeres.es/mujerc.html#Cadiz","Cádiz, Dama Fenicia de")</f>
        <v>Cádiz, Dama Fenicia de</v>
      </c>
      <c r="B114" s="9" t="s">
        <v>306</v>
      </c>
      <c r="C114" s="9" t="s">
        <v>205</v>
      </c>
      <c r="D114" s="9" t="s">
        <v>12</v>
      </c>
      <c r="E114" s="9" t="s">
        <v>12</v>
      </c>
      <c r="F114" s="12">
        <v>-500.0</v>
      </c>
      <c r="G114" s="13" t="s">
        <v>43</v>
      </c>
      <c r="H114" s="13">
        <v>-450.0</v>
      </c>
      <c r="I114" s="9">
        <v>-470.0</v>
      </c>
      <c r="J114" s="9" t="s">
        <v>307</v>
      </c>
      <c r="K114" s="9" t="s">
        <v>12</v>
      </c>
      <c r="L114" s="14" t="s">
        <v>12</v>
      </c>
      <c r="M114" s="9" t="s">
        <v>12</v>
      </c>
    </row>
    <row r="115">
      <c r="A115" s="4" t="str">
        <f>hyperlink("http://historiamujeres.es/mujerc.html#CAIRON","Cairon, Salvadora")</f>
        <v>Cairon, Salvadora</v>
      </c>
      <c r="B115" s="1" t="s">
        <v>12</v>
      </c>
      <c r="C115" s="1" t="s">
        <v>146</v>
      </c>
      <c r="D115" s="1" t="s">
        <v>12</v>
      </c>
      <c r="E115" s="1" t="s">
        <v>12</v>
      </c>
      <c r="F115" s="5">
        <v>1830.0</v>
      </c>
      <c r="G115" s="6" t="s">
        <v>43</v>
      </c>
      <c r="H115" s="6">
        <v>1890.0</v>
      </c>
      <c r="I115" s="1">
        <v>1873.0</v>
      </c>
      <c r="J115" s="1" t="s">
        <v>308</v>
      </c>
      <c r="K115" s="1" t="s">
        <v>214</v>
      </c>
      <c r="L115" s="3" t="s">
        <v>12</v>
      </c>
      <c r="M115" s="1" t="s">
        <v>12</v>
      </c>
    </row>
    <row r="116">
      <c r="A116" s="4" t="str">
        <f>hyperlink("http://historiamujeres.es/mujerc.html#Calado","Calado Rosales, Fernanda")</f>
        <v>Calado Rosales, Fernanda</v>
      </c>
      <c r="B116" s="1" t="s">
        <v>12</v>
      </c>
      <c r="C116" s="1" t="s">
        <v>146</v>
      </c>
      <c r="D116" s="1" t="s">
        <v>309</v>
      </c>
      <c r="E116" s="1" t="s">
        <v>12</v>
      </c>
      <c r="F116" s="5">
        <v>1960.0</v>
      </c>
      <c r="G116" s="6" t="s">
        <v>17</v>
      </c>
      <c r="H116" s="1">
        <v>1996.0</v>
      </c>
      <c r="I116" s="1" t="s">
        <v>12</v>
      </c>
      <c r="J116" s="1" t="s">
        <v>310</v>
      </c>
      <c r="K116" s="1" t="s">
        <v>12</v>
      </c>
      <c r="L116" s="3" t="s">
        <v>12</v>
      </c>
      <c r="M116" s="1" t="s">
        <v>36</v>
      </c>
    </row>
    <row r="117">
      <c r="A117" s="4" t="str">
        <f>hyperlink("http://historiamujeres.es/mujerc.html#Calderon_O","Calderón Ostos, María del Valle")</f>
        <v>Calderón Ostos, María del Valle</v>
      </c>
      <c r="B117" s="1" t="s">
        <v>12</v>
      </c>
      <c r="C117" s="1" t="s">
        <v>24</v>
      </c>
      <c r="D117" s="1" t="s">
        <v>24</v>
      </c>
      <c r="E117" s="1" t="s">
        <v>12</v>
      </c>
      <c r="F117" s="2">
        <v>1932.0</v>
      </c>
      <c r="G117" s="1" t="s">
        <v>12</v>
      </c>
      <c r="H117" s="1">
        <v>1996.0</v>
      </c>
      <c r="I117" s="1" t="s">
        <v>12</v>
      </c>
      <c r="J117" s="1" t="s">
        <v>311</v>
      </c>
      <c r="K117" s="1" t="s">
        <v>12</v>
      </c>
      <c r="L117" s="3" t="s">
        <v>12</v>
      </c>
      <c r="M117" s="1" t="s">
        <v>12</v>
      </c>
    </row>
    <row r="118">
      <c r="A118" s="4" t="str">
        <f>hyperlink("http://historiamujeres.es/mujerc.html#Calero_C","Calero Cantero, Concepción (Concha)")</f>
        <v>Calero Cantero, Concepción (Concha)</v>
      </c>
      <c r="B118" s="1" t="s">
        <v>12</v>
      </c>
      <c r="C118" s="1" t="s">
        <v>312</v>
      </c>
      <c r="D118" s="1" t="s">
        <v>12</v>
      </c>
      <c r="E118" s="1" t="s">
        <v>12</v>
      </c>
      <c r="F118" s="2">
        <v>1952.0</v>
      </c>
      <c r="G118" s="1" t="s">
        <v>12</v>
      </c>
      <c r="H118" s="1" t="s">
        <v>12</v>
      </c>
      <c r="I118" s="1" t="s">
        <v>12</v>
      </c>
      <c r="J118" s="1" t="s">
        <v>145</v>
      </c>
      <c r="K118" s="1" t="s">
        <v>12</v>
      </c>
      <c r="L118" s="3" t="s">
        <v>12</v>
      </c>
      <c r="M118" s="1" t="s">
        <v>12</v>
      </c>
    </row>
    <row r="119">
      <c r="A119" s="4" t="str">
        <f>hyperlink("http://historiamujeres.es/mujerc.html#Caliz","Caliz, Ana María")</f>
        <v>Caliz, Ana María</v>
      </c>
      <c r="B119" s="1" t="s">
        <v>12</v>
      </c>
      <c r="C119" s="1" t="s">
        <v>12</v>
      </c>
      <c r="D119" s="1" t="s">
        <v>12</v>
      </c>
      <c r="E119" s="1" t="s">
        <v>129</v>
      </c>
      <c r="F119" s="5">
        <v>1955.0</v>
      </c>
      <c r="G119" s="6" t="s">
        <v>17</v>
      </c>
      <c r="H119" s="1" t="s">
        <v>12</v>
      </c>
      <c r="I119" s="1" t="s">
        <v>12</v>
      </c>
      <c r="J119" s="1" t="s">
        <v>65</v>
      </c>
      <c r="K119" s="1" t="s">
        <v>60</v>
      </c>
      <c r="L119" s="3" t="s">
        <v>12</v>
      </c>
      <c r="M119" s="1" t="s">
        <v>12</v>
      </c>
    </row>
    <row r="120">
      <c r="A120" s="4" t="str">
        <f>hyperlink("http://historiamujeres.es/mujerc.html#Calle","Calle Martín, Adelaida de la")</f>
        <v>Calle Martín, Adelaida de la</v>
      </c>
      <c r="B120" s="1" t="s">
        <v>12</v>
      </c>
      <c r="C120" s="1" t="s">
        <v>68</v>
      </c>
      <c r="D120" s="1" t="s">
        <v>12</v>
      </c>
      <c r="E120" s="1" t="s">
        <v>98</v>
      </c>
      <c r="F120" s="2">
        <v>1948.0</v>
      </c>
      <c r="G120" s="1" t="s">
        <v>12</v>
      </c>
      <c r="H120" s="1" t="s">
        <v>12</v>
      </c>
      <c r="I120" s="1" t="s">
        <v>12</v>
      </c>
      <c r="J120" s="1" t="s">
        <v>313</v>
      </c>
      <c r="K120" s="1" t="s">
        <v>208</v>
      </c>
      <c r="L120" s="3" t="s">
        <v>12</v>
      </c>
      <c r="M120" s="1" t="s">
        <v>36</v>
      </c>
    </row>
    <row r="121">
      <c r="A121" s="4" t="str">
        <f>hyperlink("http://historiamujeres.es/mujerc.html#Calvin","Calvín, Maribel")</f>
        <v>Calvín, Maribel</v>
      </c>
      <c r="B121" s="1" t="s">
        <v>12</v>
      </c>
      <c r="C121" s="1" t="s">
        <v>30</v>
      </c>
      <c r="D121" s="1" t="s">
        <v>12</v>
      </c>
      <c r="E121" s="1" t="s">
        <v>12</v>
      </c>
      <c r="F121" s="5">
        <v>1930.0</v>
      </c>
      <c r="G121" s="6" t="s">
        <v>17</v>
      </c>
      <c r="H121" s="1" t="s">
        <v>12</v>
      </c>
      <c r="I121" s="1">
        <v>1983.0</v>
      </c>
      <c r="J121" s="1" t="s">
        <v>314</v>
      </c>
      <c r="K121" s="1" t="s">
        <v>12</v>
      </c>
      <c r="L121" s="3" t="s">
        <v>12</v>
      </c>
      <c r="M121" s="1" t="s">
        <v>12</v>
      </c>
    </row>
    <row r="122">
      <c r="A122" s="4" t="str">
        <f>hyperlink("http://historiamujeres.es/mujerc.html#Calvo","Calvo Poyato, Carmen")</f>
        <v>Calvo Poyato, Carmen</v>
      </c>
      <c r="B122" s="1" t="s">
        <v>12</v>
      </c>
      <c r="C122" s="1" t="s">
        <v>315</v>
      </c>
      <c r="D122" s="1" t="s">
        <v>12</v>
      </c>
      <c r="E122" s="1" t="s">
        <v>12</v>
      </c>
      <c r="F122" s="2">
        <v>1957.0</v>
      </c>
      <c r="G122" s="1" t="s">
        <v>12</v>
      </c>
      <c r="H122" s="1" t="s">
        <v>12</v>
      </c>
      <c r="I122" s="1" t="s">
        <v>12</v>
      </c>
      <c r="J122" s="1" t="s">
        <v>171</v>
      </c>
      <c r="K122" s="1" t="s">
        <v>316</v>
      </c>
      <c r="L122" s="3" t="s">
        <v>12</v>
      </c>
      <c r="M122" s="1" t="s">
        <v>12</v>
      </c>
    </row>
    <row r="123">
      <c r="A123" s="4" t="str">
        <f>hyperlink("http://historiamujeres.es/vidas/calvo-rueda-modesta.html","Calvo Rueda, Modesta")</f>
        <v>Calvo Rueda, Modesta</v>
      </c>
      <c r="B123" s="9" t="s">
        <v>12</v>
      </c>
      <c r="C123" s="8" t="s">
        <v>317</v>
      </c>
      <c r="D123" s="8" t="s">
        <v>205</v>
      </c>
      <c r="E123" s="9" t="s">
        <v>12</v>
      </c>
      <c r="F123" s="8">
        <v>1932.0</v>
      </c>
      <c r="G123" s="8" t="s">
        <v>12</v>
      </c>
      <c r="H123" s="8">
        <v>2011.0</v>
      </c>
      <c r="I123" s="8" t="s">
        <v>12</v>
      </c>
      <c r="J123" s="8" t="s">
        <v>138</v>
      </c>
      <c r="K123" s="8" t="s">
        <v>12</v>
      </c>
      <c r="L123" s="8" t="s">
        <v>12</v>
      </c>
      <c r="M123" s="8" t="s">
        <v>12</v>
      </c>
    </row>
    <row r="124">
      <c r="A124" s="4" t="str">
        <f>hyperlink("http://historiamujeres.es/mujerc.html#Camachoco","Camacho Cortés, Eulalia")</f>
        <v>Camacho Cortés, Eulalia</v>
      </c>
      <c r="B124" s="1" t="s">
        <v>12</v>
      </c>
      <c r="C124" s="1" t="s">
        <v>318</v>
      </c>
      <c r="D124" s="1" t="s">
        <v>12</v>
      </c>
      <c r="E124" s="1" t="s">
        <v>12</v>
      </c>
      <c r="F124" s="2">
        <v>1955.0</v>
      </c>
      <c r="G124" s="1" t="s">
        <v>12</v>
      </c>
      <c r="H124" s="1" t="s">
        <v>12</v>
      </c>
      <c r="I124" s="1" t="s">
        <v>12</v>
      </c>
      <c r="J124" s="1" t="s">
        <v>319</v>
      </c>
      <c r="K124" s="1" t="s">
        <v>12</v>
      </c>
      <c r="L124" s="3" t="s">
        <v>12</v>
      </c>
      <c r="M124" s="1" t="s">
        <v>12</v>
      </c>
    </row>
    <row r="125">
      <c r="A125" s="4" t="str">
        <f>hyperlink("http://historiamujeres.es/mujerc.html#Camacho","Camacho Martínez")</f>
        <v>Camacho Martínez</v>
      </c>
      <c r="B125" s="1" t="s">
        <v>12</v>
      </c>
      <c r="C125" s="1" t="s">
        <v>12</v>
      </c>
      <c r="D125" s="1" t="s">
        <v>12</v>
      </c>
      <c r="E125" s="1" t="s">
        <v>98</v>
      </c>
      <c r="F125" s="5">
        <v>1945.0</v>
      </c>
      <c r="G125" s="6" t="s">
        <v>17</v>
      </c>
      <c r="H125" s="1" t="s">
        <v>12</v>
      </c>
      <c r="I125" s="1">
        <v>1987.0</v>
      </c>
      <c r="J125" s="1" t="s">
        <v>305</v>
      </c>
      <c r="K125" s="1" t="s">
        <v>12</v>
      </c>
      <c r="L125" s="3" t="s">
        <v>12</v>
      </c>
      <c r="M125" s="1" t="s">
        <v>320</v>
      </c>
    </row>
    <row r="126">
      <c r="A126" s="4" t="str">
        <f>hyperlink("http://historiamujeres.es/mujerc.html#Camara","Cámara Montila, Trinidad de la")</f>
        <v>Cámara Montila, Trinidad de la</v>
      </c>
      <c r="B126" s="9" t="s">
        <v>321</v>
      </c>
      <c r="C126" s="1" t="s">
        <v>30</v>
      </c>
      <c r="D126" s="1" t="s">
        <v>26</v>
      </c>
      <c r="E126" s="1" t="s">
        <v>12</v>
      </c>
      <c r="F126" s="2">
        <v>1915.0</v>
      </c>
      <c r="G126" s="1" t="s">
        <v>12</v>
      </c>
      <c r="H126" s="1">
        <v>2002.0</v>
      </c>
      <c r="I126" s="1" t="s">
        <v>12</v>
      </c>
      <c r="J126" s="1" t="s">
        <v>73</v>
      </c>
      <c r="K126" s="1" t="s">
        <v>322</v>
      </c>
      <c r="L126" s="3" t="s">
        <v>12</v>
      </c>
      <c r="M126" s="1" t="s">
        <v>12</v>
      </c>
    </row>
    <row r="127">
      <c r="A127" s="4" t="str">
        <f>hyperlink("http://historiamujeres.es/mujerc.html#CAMPI","Campiña Ontiveros, Fidela")</f>
        <v>Campiña Ontiveros, Fidela</v>
      </c>
      <c r="B127" s="1" t="s">
        <v>12</v>
      </c>
      <c r="C127" s="1" t="s">
        <v>323</v>
      </c>
      <c r="D127" s="1" t="s">
        <v>324</v>
      </c>
      <c r="E127" s="1" t="s">
        <v>12</v>
      </c>
      <c r="F127" s="2">
        <v>1894.0</v>
      </c>
      <c r="G127" s="1" t="s">
        <v>12</v>
      </c>
      <c r="H127" s="1">
        <v>1983.0</v>
      </c>
      <c r="I127" s="1" t="s">
        <v>12</v>
      </c>
      <c r="J127" s="1" t="s">
        <v>325</v>
      </c>
      <c r="K127" s="1" t="s">
        <v>12</v>
      </c>
      <c r="L127" s="3" t="s">
        <v>12</v>
      </c>
      <c r="M127" s="1" t="s">
        <v>12</v>
      </c>
    </row>
    <row r="128">
      <c r="A128" s="4" t="str">
        <f>hyperlink("http://historiamujeres.es/mujerc.html#Campos","Campos Luque. María Teresa")</f>
        <v>Campos Luque. María Teresa</v>
      </c>
      <c r="B128" s="1" t="s">
        <v>12</v>
      </c>
      <c r="C128" s="1" t="s">
        <v>326</v>
      </c>
      <c r="D128" s="1" t="s">
        <v>12</v>
      </c>
      <c r="E128" s="1" t="s">
        <v>98</v>
      </c>
      <c r="F128" s="2">
        <v>1941.0</v>
      </c>
      <c r="G128" s="1" t="s">
        <v>12</v>
      </c>
      <c r="H128" s="1" t="s">
        <v>12</v>
      </c>
      <c r="I128" s="1" t="s">
        <v>12</v>
      </c>
      <c r="J128" s="1" t="s">
        <v>327</v>
      </c>
      <c r="K128" s="1" t="s">
        <v>12</v>
      </c>
      <c r="L128" s="3" t="s">
        <v>12</v>
      </c>
      <c r="M128" s="1" t="s">
        <v>36</v>
      </c>
    </row>
    <row r="129">
      <c r="A129" s="4" t="str">
        <f>hyperlink("http://historiamujeres.es/mujerc.html#Campost0","Campos Trigo, Paz")</f>
        <v>Campos Trigo, Paz</v>
      </c>
      <c r="B129" s="1" t="s">
        <v>328</v>
      </c>
      <c r="C129" s="1" t="s">
        <v>27</v>
      </c>
      <c r="D129" s="1" t="s">
        <v>12</v>
      </c>
      <c r="E129" s="1" t="s">
        <v>12</v>
      </c>
      <c r="F129" s="2">
        <v>1956.0</v>
      </c>
      <c r="G129" s="1" t="s">
        <v>12</v>
      </c>
      <c r="H129" s="1" t="s">
        <v>12</v>
      </c>
      <c r="I129" s="1" t="s">
        <v>12</v>
      </c>
      <c r="J129" s="1" t="s">
        <v>329</v>
      </c>
      <c r="K129" s="1" t="s">
        <v>12</v>
      </c>
      <c r="L129" s="3" t="s">
        <v>12</v>
      </c>
      <c r="M129" s="1" t="s">
        <v>36</v>
      </c>
    </row>
    <row r="130">
      <c r="A130" s="4" t="str">
        <f>hyperlink("http://historiamujeres.es/mujerc.html#CAMPRUBi","Camprubí Aynar , Zenobia")</f>
        <v>Camprubí Aynar , Zenobia</v>
      </c>
      <c r="B130" s="1" t="s">
        <v>12</v>
      </c>
      <c r="C130" s="1" t="s">
        <v>330</v>
      </c>
      <c r="D130" s="1" t="s">
        <v>331</v>
      </c>
      <c r="E130" s="1" t="s">
        <v>129</v>
      </c>
      <c r="F130" s="2">
        <v>1887.0</v>
      </c>
      <c r="G130" s="1" t="s">
        <v>12</v>
      </c>
      <c r="H130" s="1">
        <v>1956.0</v>
      </c>
      <c r="I130" s="1" t="s">
        <v>12</v>
      </c>
      <c r="J130" s="1" t="s">
        <v>332</v>
      </c>
      <c r="K130" s="1" t="s">
        <v>12</v>
      </c>
      <c r="L130" s="3" t="s">
        <v>12</v>
      </c>
      <c r="M130" s="1" t="s">
        <v>333</v>
      </c>
    </row>
    <row r="131">
      <c r="A131" s="4" t="str">
        <f>hyperlink("http://historiamujeres.es/mujerc.html#Cantarero","Cantarero Jiménez, María Dolores")</f>
        <v>Cantarero Jiménez, María Dolores</v>
      </c>
      <c r="B131" s="1" t="s">
        <v>334</v>
      </c>
      <c r="C131" s="1" t="s">
        <v>30</v>
      </c>
      <c r="D131" s="1" t="s">
        <v>12</v>
      </c>
      <c r="E131" s="1" t="s">
        <v>12</v>
      </c>
      <c r="F131" s="2">
        <v>1978.0</v>
      </c>
      <c r="G131" s="1" t="s">
        <v>12</v>
      </c>
      <c r="H131" s="1" t="s">
        <v>12</v>
      </c>
      <c r="I131" s="1" t="s">
        <v>12</v>
      </c>
      <c r="J131" s="1" t="s">
        <v>335</v>
      </c>
      <c r="K131" s="1" t="s">
        <v>12</v>
      </c>
      <c r="L131" s="3" t="s">
        <v>12</v>
      </c>
      <c r="M131" s="1" t="s">
        <v>36</v>
      </c>
    </row>
    <row r="132">
      <c r="A132" s="4" t="str">
        <f>hyperlink("http://historiamujeres.es//mujerc.html#Cantoria","Cantoria entre la guerra y la postguerra. Mujeres de")</f>
        <v>Cantoria entre la guerra y la postguerra. Mujeres de</v>
      </c>
      <c r="B132" s="9" t="s">
        <v>12</v>
      </c>
      <c r="C132" s="9" t="s">
        <v>336</v>
      </c>
      <c r="D132" s="9" t="s">
        <v>12</v>
      </c>
      <c r="E132" s="9" t="s">
        <v>12</v>
      </c>
      <c r="F132" s="15">
        <v>1936.0</v>
      </c>
      <c r="G132" s="9" t="s">
        <v>12</v>
      </c>
      <c r="H132" s="9">
        <v>1975.0</v>
      </c>
      <c r="I132" s="9" t="s">
        <v>12</v>
      </c>
      <c r="J132" s="9" t="s">
        <v>14</v>
      </c>
      <c r="K132" s="9" t="s">
        <v>15</v>
      </c>
      <c r="L132" s="14" t="s">
        <v>337</v>
      </c>
      <c r="M132" s="1"/>
    </row>
    <row r="133">
      <c r="A133" s="4" t="str">
        <f>hyperlink("http://historiamujeres.es/mujerc.html#CANTOS","Cantos Fernández, Matilde")</f>
        <v>Cantos Fernández, Matilde</v>
      </c>
      <c r="B133" s="1" t="s">
        <v>12</v>
      </c>
      <c r="C133" s="1" t="s">
        <v>30</v>
      </c>
      <c r="D133" s="1" t="s">
        <v>338</v>
      </c>
      <c r="E133" s="1" t="s">
        <v>12</v>
      </c>
      <c r="F133" s="2">
        <v>1898.0</v>
      </c>
      <c r="G133" s="1" t="s">
        <v>12</v>
      </c>
      <c r="H133" s="1">
        <v>1987.0</v>
      </c>
      <c r="I133" s="1" t="s">
        <v>12</v>
      </c>
      <c r="J133" s="1" t="s">
        <v>339</v>
      </c>
      <c r="K133" s="1" t="s">
        <v>340</v>
      </c>
      <c r="L133" s="3" t="s">
        <v>12</v>
      </c>
      <c r="M133" s="1" t="s">
        <v>12</v>
      </c>
    </row>
    <row r="134">
      <c r="A134" s="4" t="str">
        <f>hyperlink("http://historiamujeres.es/mujerc.html#CANTUDO ","Cantudo, María José")</f>
        <v>Cantudo, María José</v>
      </c>
      <c r="B134" s="1" t="s">
        <v>12</v>
      </c>
      <c r="C134" s="1" t="s">
        <v>341</v>
      </c>
      <c r="D134" s="1" t="s">
        <v>12</v>
      </c>
      <c r="E134" s="1" t="s">
        <v>12</v>
      </c>
      <c r="F134" s="2">
        <v>1955.0</v>
      </c>
      <c r="G134" s="1" t="s">
        <v>12</v>
      </c>
      <c r="H134" s="1" t="s">
        <v>12</v>
      </c>
      <c r="I134" s="1" t="s">
        <v>12</v>
      </c>
      <c r="J134" s="1" t="s">
        <v>342</v>
      </c>
      <c r="K134" s="1" t="s">
        <v>12</v>
      </c>
      <c r="L134" s="3" t="s">
        <v>12</v>
      </c>
      <c r="M134" s="1" t="s">
        <v>12</v>
      </c>
    </row>
    <row r="135">
      <c r="A135" s="4" t="str">
        <f>hyperlink("http://historiamujeres.es/mujerc.html#Cannada ","Cañada Morales, Francisca")</f>
        <v>Cañada Morales, Francisca</v>
      </c>
      <c r="B135" s="1" t="s">
        <v>343</v>
      </c>
      <c r="C135" s="1" t="s">
        <v>344</v>
      </c>
      <c r="D135" s="1" t="s">
        <v>344</v>
      </c>
      <c r="E135" s="1" t="s">
        <v>12</v>
      </c>
      <c r="F135" s="2">
        <v>1907.0</v>
      </c>
      <c r="G135" s="1" t="s">
        <v>12</v>
      </c>
      <c r="H135" s="1">
        <v>1987.0</v>
      </c>
      <c r="I135" s="1" t="s">
        <v>12</v>
      </c>
      <c r="J135" s="1" t="s">
        <v>345</v>
      </c>
      <c r="K135" s="1" t="s">
        <v>12</v>
      </c>
      <c r="L135" s="3" t="s">
        <v>12</v>
      </c>
      <c r="M135" s="1" t="s">
        <v>12</v>
      </c>
    </row>
    <row r="136">
      <c r="A136" s="4" t="str">
        <f>hyperlink("http://historiamujeres.es/mujerc.html#Canas_Pavon ","Cañas Pavón, María")</f>
        <v>Cañas Pavón, María</v>
      </c>
      <c r="B136" s="1" t="s">
        <v>12</v>
      </c>
      <c r="C136" s="1" t="s">
        <v>346</v>
      </c>
      <c r="D136" s="1" t="s">
        <v>12</v>
      </c>
      <c r="E136" s="1" t="s">
        <v>12</v>
      </c>
      <c r="F136" s="2">
        <v>1934.0</v>
      </c>
      <c r="G136" s="1" t="s">
        <v>12</v>
      </c>
      <c r="H136" s="1">
        <v>2001.0</v>
      </c>
      <c r="I136" s="1" t="s">
        <v>12</v>
      </c>
      <c r="J136" s="1" t="s">
        <v>347</v>
      </c>
      <c r="K136" s="1" t="s">
        <v>12</v>
      </c>
      <c r="L136" s="3" t="s">
        <v>12</v>
      </c>
      <c r="M136" s="1" t="s">
        <v>12</v>
      </c>
    </row>
    <row r="137">
      <c r="A137" s="4" t="str">
        <f>hyperlink("http://historiamujeres.es/mujerm.html#MANOLITA","Caqui Benítez, Manuela")</f>
        <v>Caqui Benítez, Manuela</v>
      </c>
      <c r="B137" s="1" t="s">
        <v>348</v>
      </c>
      <c r="C137" s="1" t="s">
        <v>262</v>
      </c>
      <c r="D137" s="1" t="s">
        <v>12</v>
      </c>
      <c r="E137" s="1" t="s">
        <v>12</v>
      </c>
      <c r="F137" s="2">
        <v>1935.0</v>
      </c>
      <c r="G137" s="1" t="s">
        <v>12</v>
      </c>
      <c r="H137" s="1" t="s">
        <v>12</v>
      </c>
      <c r="I137" s="1" t="s">
        <v>12</v>
      </c>
      <c r="J137" s="1" t="s">
        <v>69</v>
      </c>
      <c r="K137" s="1" t="s">
        <v>12</v>
      </c>
      <c r="L137" s="3" t="s">
        <v>12</v>
      </c>
      <c r="M137" s="1" t="s">
        <v>12</v>
      </c>
    </row>
    <row r="138">
      <c r="A138" s="4" t="str">
        <f>hyperlink("http://historiamujeres.es/mujerc.html#Carbajo","Carbajo, Marisa")</f>
        <v>Carbajo, Marisa</v>
      </c>
      <c r="B138" s="1" t="s">
        <v>12</v>
      </c>
      <c r="C138" s="1" t="s">
        <v>27</v>
      </c>
      <c r="D138" s="1" t="s">
        <v>12</v>
      </c>
      <c r="E138" s="1" t="s">
        <v>12</v>
      </c>
      <c r="F138" s="2">
        <v>1963.0</v>
      </c>
      <c r="G138" s="1" t="s">
        <v>12</v>
      </c>
      <c r="H138" s="1" t="s">
        <v>12</v>
      </c>
      <c r="I138" s="1" t="s">
        <v>12</v>
      </c>
      <c r="J138" s="1" t="s">
        <v>73</v>
      </c>
      <c r="K138" s="1" t="s">
        <v>12</v>
      </c>
      <c r="L138" s="3" t="s">
        <v>12</v>
      </c>
      <c r="M138" s="1" t="s">
        <v>12</v>
      </c>
    </row>
    <row r="139">
      <c r="A139" s="11" t="str">
        <f>hyperlink("http://historiamujeres.es/mujerc.html#Carceles_","Carceles de Mujeres de Jaén")</f>
        <v>Carceles de Mujeres de Jaén</v>
      </c>
      <c r="B139" s="9" t="s">
        <v>12</v>
      </c>
      <c r="C139" s="9" t="s">
        <v>64</v>
      </c>
      <c r="D139" s="9" t="s">
        <v>64</v>
      </c>
      <c r="E139" s="1"/>
      <c r="F139" s="9">
        <v>1500.0</v>
      </c>
      <c r="G139" s="1"/>
      <c r="H139" s="30">
        <v>2000.0</v>
      </c>
      <c r="I139" s="1"/>
      <c r="J139" s="9" t="s">
        <v>349</v>
      </c>
      <c r="K139" s="9" t="s">
        <v>12</v>
      </c>
      <c r="L139" s="14" t="s">
        <v>12</v>
      </c>
      <c r="M139" s="9" t="s">
        <v>12</v>
      </c>
    </row>
    <row r="140">
      <c r="A140" s="4" t="str">
        <f>hyperlink("http://historiamujeres.es/mujerc.html#Carmen_cig","Carmen")</f>
        <v>Carmen</v>
      </c>
      <c r="B140" s="1" t="s">
        <v>12</v>
      </c>
      <c r="C140" s="1" t="s">
        <v>27</v>
      </c>
      <c r="D140" s="1" t="s">
        <v>12</v>
      </c>
      <c r="E140" s="1" t="s">
        <v>12</v>
      </c>
      <c r="F140" s="2" t="s">
        <v>12</v>
      </c>
      <c r="G140" s="1" t="s">
        <v>12</v>
      </c>
      <c r="H140" s="1" t="s">
        <v>12</v>
      </c>
      <c r="I140" s="2">
        <v>1847.0</v>
      </c>
      <c r="J140" s="1" t="s">
        <v>350</v>
      </c>
      <c r="K140" s="1" t="s">
        <v>351</v>
      </c>
      <c r="L140" s="3" t="s">
        <v>12</v>
      </c>
      <c r="M140" s="1" t="s">
        <v>352</v>
      </c>
    </row>
    <row r="141">
      <c r="A141" s="11" t="str">
        <f>hyperlink("http://historiamujeres.es/mujerc.html#Carmona_Ruiz","Carmona Ruiz, Ana")</f>
        <v>Carmona Ruiz, Ana</v>
      </c>
      <c r="B141" s="9" t="s">
        <v>353</v>
      </c>
      <c r="C141" s="9" t="s">
        <v>98</v>
      </c>
      <c r="D141" s="9" t="s">
        <v>98</v>
      </c>
      <c r="E141" s="9" t="s">
        <v>12</v>
      </c>
      <c r="F141" s="15">
        <v>1908.0</v>
      </c>
      <c r="G141" s="9" t="s">
        <v>12</v>
      </c>
      <c r="H141" s="9">
        <v>1940.0</v>
      </c>
      <c r="I141" s="9" t="s">
        <v>12</v>
      </c>
      <c r="J141" s="9" t="s">
        <v>354</v>
      </c>
      <c r="K141" s="9" t="s">
        <v>355</v>
      </c>
      <c r="L141" s="14" t="s">
        <v>12</v>
      </c>
      <c r="M141" s="9" t="s">
        <v>356</v>
      </c>
    </row>
    <row r="142">
      <c r="A142" s="4" t="str">
        <f>hyperlink("http://historiamujeres.es/mujerc.html#Caro","Caro Mallén de Soto, Ana")</f>
        <v>Caro Mallén de Soto, Ana</v>
      </c>
      <c r="B142" s="1" t="s">
        <v>12</v>
      </c>
      <c r="C142" s="1" t="s">
        <v>357</v>
      </c>
      <c r="D142" s="1" t="s">
        <v>12</v>
      </c>
      <c r="E142" s="1" t="s">
        <v>358</v>
      </c>
      <c r="F142" s="2">
        <v>1590.0</v>
      </c>
      <c r="G142" s="1" t="s">
        <v>12</v>
      </c>
      <c r="H142" s="1">
        <v>1650.0</v>
      </c>
      <c r="I142" s="1" t="s">
        <v>12</v>
      </c>
      <c r="J142" s="1" t="s">
        <v>60</v>
      </c>
      <c r="K142" s="1" t="s">
        <v>12</v>
      </c>
      <c r="L142" s="3" t="s">
        <v>12</v>
      </c>
      <c r="M142" s="1" t="s">
        <v>12</v>
      </c>
    </row>
    <row r="143">
      <c r="A143" s="4" t="str">
        <f>hyperlink("http://historiamujeres.es/mujerc.html#Carrar","Carrar, Señora Teresa")</f>
        <v>Carrar, Señora Teresa</v>
      </c>
      <c r="B143" s="1" t="s">
        <v>12</v>
      </c>
      <c r="C143" s="1" t="s">
        <v>12</v>
      </c>
      <c r="D143" s="1" t="s">
        <v>12</v>
      </c>
      <c r="E143" s="1" t="s">
        <v>359</v>
      </c>
      <c r="F143" s="2">
        <v>1937.0</v>
      </c>
      <c r="G143" s="1" t="s">
        <v>12</v>
      </c>
      <c r="H143" s="1" t="s">
        <v>12</v>
      </c>
      <c r="I143" s="1" t="s">
        <v>12</v>
      </c>
      <c r="J143" s="1" t="s">
        <v>360</v>
      </c>
      <c r="K143" s="1" t="s">
        <v>12</v>
      </c>
      <c r="L143" s="3" t="s">
        <v>12</v>
      </c>
      <c r="M143" s="1" t="s">
        <v>12</v>
      </c>
    </row>
    <row r="144">
      <c r="A144" s="4" t="str">
        <f>hyperlink("http://historiamujeres.es/mujerc.html#CARRASCO","Carrasco Salazar, Manuela")</f>
        <v>Carrasco Salazar, Manuela</v>
      </c>
      <c r="B144" s="1" t="s">
        <v>12</v>
      </c>
      <c r="C144" s="1" t="s">
        <v>361</v>
      </c>
      <c r="D144" s="1" t="s">
        <v>12</v>
      </c>
      <c r="E144" s="1" t="s">
        <v>12</v>
      </c>
      <c r="F144" s="2">
        <v>1958.0</v>
      </c>
      <c r="G144" s="1" t="s">
        <v>12</v>
      </c>
      <c r="H144" s="1" t="s">
        <v>12</v>
      </c>
      <c r="I144" s="1" t="s">
        <v>12</v>
      </c>
      <c r="J144" s="1" t="s">
        <v>145</v>
      </c>
      <c r="K144" s="1" t="s">
        <v>12</v>
      </c>
      <c r="L144" s="3" t="s">
        <v>12</v>
      </c>
      <c r="M144" s="1" t="s">
        <v>36</v>
      </c>
    </row>
    <row r="145">
      <c r="A145" s="4" t="str">
        <f>hyperlink("http://historiamujeres.es/mujerc.html#Carrasq","Carrasquilla, Isabel")</f>
        <v>Carrasquilla, Isabel</v>
      </c>
      <c r="B145" s="1" t="s">
        <v>362</v>
      </c>
      <c r="C145" s="1" t="s">
        <v>24</v>
      </c>
      <c r="D145" s="1" t="s">
        <v>12</v>
      </c>
      <c r="E145" s="1" t="s">
        <v>27</v>
      </c>
      <c r="F145" s="5">
        <v>1630.0</v>
      </c>
      <c r="G145" s="6" t="s">
        <v>43</v>
      </c>
      <c r="H145" s="6">
        <v>1690.0</v>
      </c>
      <c r="I145" s="1">
        <v>1659.0</v>
      </c>
      <c r="J145" s="1" t="s">
        <v>65</v>
      </c>
      <c r="K145" s="1" t="s">
        <v>12</v>
      </c>
      <c r="L145" s="3" t="s">
        <v>12</v>
      </c>
      <c r="M145" s="1" t="s">
        <v>12</v>
      </c>
    </row>
    <row r="146">
      <c r="A146" s="4" t="str">
        <f>hyperlink("http://historiamujeres.es/mujerc.html#Carrillodelo","Carrillo de los Reyes, Beatriz")</f>
        <v>Carrillo de los Reyes, Beatriz</v>
      </c>
      <c r="B146" s="1" t="s">
        <v>12</v>
      </c>
      <c r="C146" s="1" t="s">
        <v>363</v>
      </c>
      <c r="D146" s="1" t="s">
        <v>12</v>
      </c>
      <c r="E146" s="1" t="s">
        <v>12</v>
      </c>
      <c r="F146" s="2">
        <v>1976.0</v>
      </c>
      <c r="G146" s="1" t="s">
        <v>12</v>
      </c>
      <c r="H146" s="1" t="s">
        <v>12</v>
      </c>
      <c r="I146" s="1" t="s">
        <v>12</v>
      </c>
      <c r="J146" s="1" t="s">
        <v>364</v>
      </c>
      <c r="K146" s="1" t="s">
        <v>365</v>
      </c>
      <c r="L146" s="3" t="s">
        <v>12</v>
      </c>
      <c r="M146" s="1" t="s">
        <v>12</v>
      </c>
    </row>
    <row r="147">
      <c r="A147" s="4" t="str">
        <f>hyperlink("http://historiamujeres.es/mujerc.html#Carrillo","Carrillo Salas, Francisca")</f>
        <v>Carrillo Salas, Francisca</v>
      </c>
      <c r="B147" s="1" t="s">
        <v>12</v>
      </c>
      <c r="C147" s="1" t="s">
        <v>366</v>
      </c>
      <c r="D147" s="1" t="s">
        <v>68</v>
      </c>
      <c r="E147" s="1" t="s">
        <v>141</v>
      </c>
      <c r="F147" s="2">
        <v>1903.0</v>
      </c>
      <c r="G147" s="1" t="s">
        <v>12</v>
      </c>
      <c r="H147" s="1">
        <v>2002.0</v>
      </c>
      <c r="I147" s="1" t="s">
        <v>12</v>
      </c>
      <c r="J147" s="1" t="s">
        <v>59</v>
      </c>
      <c r="K147" s="1" t="s">
        <v>367</v>
      </c>
      <c r="L147" s="3" t="s">
        <v>12</v>
      </c>
      <c r="M147" s="1" t="s">
        <v>368</v>
      </c>
    </row>
    <row r="148">
      <c r="A148" s="4" t="str">
        <f>hyperlink("http://historiamujeres.es/mujerc.html#CARVAJAL","Carvajal Saavedra, Mariana")</f>
        <v>Carvajal Saavedra, Mariana</v>
      </c>
      <c r="B148" s="1" t="s">
        <v>12</v>
      </c>
      <c r="C148" s="1" t="s">
        <v>30</v>
      </c>
      <c r="D148" s="1" t="s">
        <v>369</v>
      </c>
      <c r="E148" s="1" t="s">
        <v>12</v>
      </c>
      <c r="F148" s="5">
        <v>1620.0</v>
      </c>
      <c r="G148" s="6" t="s">
        <v>43</v>
      </c>
      <c r="H148" s="6">
        <v>1670.0</v>
      </c>
      <c r="I148" s="1">
        <v>1663.0</v>
      </c>
      <c r="J148" s="1" t="s">
        <v>60</v>
      </c>
      <c r="K148" s="1" t="s">
        <v>12</v>
      </c>
      <c r="L148" s="3" t="s">
        <v>12</v>
      </c>
      <c r="M148" s="1" t="s">
        <v>12</v>
      </c>
    </row>
    <row r="149">
      <c r="A149" s="4" t="str">
        <f>hyperlink("http://historiamujeres.es/vidas/carvia-bernal-amalia-ana.html","Carvia Bernal, Ana")</f>
        <v>Carvia Bernal, Ana</v>
      </c>
      <c r="B149" s="1" t="s">
        <v>12</v>
      </c>
      <c r="C149" s="1" t="s">
        <v>205</v>
      </c>
      <c r="D149" s="9" t="s">
        <v>178</v>
      </c>
      <c r="E149" s="9" t="s">
        <v>129</v>
      </c>
      <c r="F149" s="2">
        <v>1865.0</v>
      </c>
      <c r="G149" s="1" t="s">
        <v>12</v>
      </c>
      <c r="H149" s="9">
        <v>1849.0</v>
      </c>
      <c r="I149" s="1" t="s">
        <v>12</v>
      </c>
      <c r="J149" s="1" t="s">
        <v>370</v>
      </c>
      <c r="K149" s="1" t="s">
        <v>371</v>
      </c>
      <c r="L149" s="3" t="s">
        <v>372</v>
      </c>
      <c r="M149" s="1" t="s">
        <v>12</v>
      </c>
    </row>
    <row r="150">
      <c r="A150" s="4" t="str">
        <f>hyperlink("http://historiamujeres.es/vidas/carvia-bernal-amalia-ana.html","Carvia y Bernal, Amalia")</f>
        <v>Carvia y Bernal, Amalia</v>
      </c>
      <c r="B150" s="1" t="s">
        <v>12</v>
      </c>
      <c r="C150" s="1" t="s">
        <v>205</v>
      </c>
      <c r="D150" s="9" t="s">
        <v>178</v>
      </c>
      <c r="E150" s="1" t="s">
        <v>129</v>
      </c>
      <c r="F150" s="2">
        <v>1861.0</v>
      </c>
      <c r="G150" s="8" t="s">
        <v>12</v>
      </c>
      <c r="H150" s="8">
        <v>1941.0</v>
      </c>
      <c r="I150" s="1" t="s">
        <v>12</v>
      </c>
      <c r="J150" s="1" t="s">
        <v>373</v>
      </c>
      <c r="K150" s="1" t="s">
        <v>56</v>
      </c>
      <c r="L150" s="3" t="s">
        <v>12</v>
      </c>
      <c r="M150" s="1" t="s">
        <v>12</v>
      </c>
    </row>
    <row r="151">
      <c r="A151" s="7" t="str">
        <f>hyperlink("http://historiamujeres.es/mujerc.html#Casanova","Casanova y Navarro, Catalina")</f>
        <v>Casanova y Navarro, Catalina</v>
      </c>
      <c r="B151" s="9" t="s">
        <v>12</v>
      </c>
      <c r="C151" s="20" t="s">
        <v>374</v>
      </c>
      <c r="D151" s="20" t="s">
        <v>374</v>
      </c>
      <c r="E151" s="9" t="s">
        <v>12</v>
      </c>
      <c r="F151" s="20">
        <v>1831.0</v>
      </c>
      <c r="G151" s="21" t="s">
        <v>12</v>
      </c>
      <c r="H151" s="31">
        <v>1914.0</v>
      </c>
      <c r="I151" s="9" t="s">
        <v>12</v>
      </c>
      <c r="J151" s="9" t="s">
        <v>375</v>
      </c>
      <c r="K151" s="9" t="s">
        <v>376</v>
      </c>
      <c r="L151" s="19" t="s">
        <v>12</v>
      </c>
      <c r="M151" s="9" t="s">
        <v>12</v>
      </c>
    </row>
    <row r="152">
      <c r="A152" s="4" t="str">
        <f>hyperlink("http://historiamujeres.es/mujerc.html#Castellano","Castellano Arroyo, Maria")</f>
        <v>Castellano Arroyo, Maria</v>
      </c>
      <c r="B152" s="1" t="s">
        <v>12</v>
      </c>
      <c r="C152" s="9" t="s">
        <v>64</v>
      </c>
      <c r="D152" s="1" t="s">
        <v>12</v>
      </c>
      <c r="E152" s="1" t="s">
        <v>30</v>
      </c>
      <c r="F152" s="32">
        <v>1948.0</v>
      </c>
      <c r="G152" s="33" t="s">
        <v>12</v>
      </c>
      <c r="H152" s="1" t="s">
        <v>12</v>
      </c>
      <c r="I152" s="1">
        <v>1988.0</v>
      </c>
      <c r="J152" s="1" t="s">
        <v>377</v>
      </c>
      <c r="K152" s="1" t="s">
        <v>12</v>
      </c>
      <c r="L152" s="3" t="s">
        <v>12</v>
      </c>
      <c r="M152" s="9" t="s">
        <v>378</v>
      </c>
    </row>
    <row r="153">
      <c r="A153" s="4" t="str">
        <f>hyperlink("http://historiamujeres.es/mujerc.html#Castilla_R","Castilla Ruiz, Lola")</f>
        <v>Castilla Ruiz, Lola</v>
      </c>
      <c r="B153" s="1" t="s">
        <v>12</v>
      </c>
      <c r="C153" s="1" t="s">
        <v>379</v>
      </c>
      <c r="D153" s="1" t="s">
        <v>12</v>
      </c>
      <c r="E153" s="1" t="s">
        <v>380</v>
      </c>
      <c r="F153" s="5">
        <v>1930.0</v>
      </c>
      <c r="G153" s="6" t="s">
        <v>17</v>
      </c>
      <c r="H153" s="1" t="s">
        <v>12</v>
      </c>
      <c r="I153" s="1">
        <v>2007.0</v>
      </c>
      <c r="J153" s="1" t="s">
        <v>381</v>
      </c>
      <c r="K153" s="1" t="s">
        <v>382</v>
      </c>
      <c r="L153" s="3" t="s">
        <v>12</v>
      </c>
      <c r="M153" s="1" t="s">
        <v>12</v>
      </c>
    </row>
    <row r="154">
      <c r="A154" s="4" t="str">
        <f>hyperlink("http://historiamujeres.es/mujerc.html#Castro_Be","Castro Bedoya, Micaela de")</f>
        <v>Castro Bedoya, Micaela de</v>
      </c>
      <c r="B154" s="1" t="s">
        <v>12</v>
      </c>
      <c r="C154" s="1" t="s">
        <v>12</v>
      </c>
      <c r="D154" s="1" t="s">
        <v>205</v>
      </c>
      <c r="E154" s="1" t="s">
        <v>12</v>
      </c>
      <c r="F154" s="16">
        <v>1890.0</v>
      </c>
      <c r="G154" s="6" t="s">
        <v>17</v>
      </c>
      <c r="H154" s="1">
        <v>1936.0</v>
      </c>
      <c r="I154" s="1" t="s">
        <v>12</v>
      </c>
      <c r="J154" s="1" t="s">
        <v>299</v>
      </c>
      <c r="K154" s="1" t="s">
        <v>383</v>
      </c>
      <c r="L154" s="3" t="s">
        <v>301</v>
      </c>
      <c r="M154" s="1" t="s">
        <v>384</v>
      </c>
    </row>
    <row r="155">
      <c r="A155" s="4" t="str">
        <f>hyperlink("http://historiamujeres.es/mujerc.html#Castro_Martinez","Castro Martínez, Teresa de")</f>
        <v>Castro Martínez, Teresa de</v>
      </c>
      <c r="B155" s="1" t="s">
        <v>12</v>
      </c>
      <c r="C155" s="1" t="s">
        <v>12</v>
      </c>
      <c r="D155" s="1" t="s">
        <v>12</v>
      </c>
      <c r="E155" s="1" t="s">
        <v>30</v>
      </c>
      <c r="F155" s="5">
        <v>1970.0</v>
      </c>
      <c r="G155" s="6" t="s">
        <v>17</v>
      </c>
      <c r="H155" s="1" t="s">
        <v>12</v>
      </c>
      <c r="I155" s="1">
        <v>1999.0</v>
      </c>
      <c r="J155" s="1" t="s">
        <v>22</v>
      </c>
      <c r="K155" s="1" t="s">
        <v>12</v>
      </c>
      <c r="L155" s="3" t="s">
        <v>12</v>
      </c>
      <c r="M155" s="1" t="s">
        <v>385</v>
      </c>
    </row>
    <row r="156">
      <c r="A156" s="4" t="str">
        <f>hyperlink("http://historiamujeres.es/mujerc.html#CASTROma","Castro Mateo, María Jesús")</f>
        <v>Castro Mateo, María Jesús</v>
      </c>
      <c r="B156" s="1" t="s">
        <v>12</v>
      </c>
      <c r="C156" s="1" t="s">
        <v>386</v>
      </c>
      <c r="D156" s="1" t="s">
        <v>12</v>
      </c>
      <c r="E156" s="1" t="s">
        <v>191</v>
      </c>
      <c r="F156" s="2">
        <v>1948.0</v>
      </c>
      <c r="G156" s="1" t="s">
        <v>12</v>
      </c>
      <c r="H156" s="1" t="s">
        <v>12</v>
      </c>
      <c r="I156" s="1" t="s">
        <v>12</v>
      </c>
      <c r="J156" s="1" t="s">
        <v>171</v>
      </c>
      <c r="K156" s="1" t="s">
        <v>12</v>
      </c>
      <c r="L156" s="3" t="s">
        <v>12</v>
      </c>
      <c r="M156" s="1" t="s">
        <v>12</v>
      </c>
    </row>
    <row r="157">
      <c r="A157" s="4" t="str">
        <f>hyperlink("http://historiamujeres.es/mujerc.html#Castroj","Castro Muñoz, Juana")</f>
        <v>Castro Muñoz, Juana</v>
      </c>
      <c r="B157" s="1" t="s">
        <v>12</v>
      </c>
      <c r="C157" s="1" t="s">
        <v>387</v>
      </c>
      <c r="D157" s="1" t="s">
        <v>12</v>
      </c>
      <c r="E157" s="1" t="s">
        <v>12</v>
      </c>
      <c r="F157" s="2">
        <v>1945.0</v>
      </c>
      <c r="G157" s="1" t="s">
        <v>12</v>
      </c>
      <c r="H157" s="1" t="s">
        <v>12</v>
      </c>
      <c r="I157" s="1" t="s">
        <v>12</v>
      </c>
      <c r="J157" s="1" t="s">
        <v>73</v>
      </c>
      <c r="K157" s="1" t="s">
        <v>12</v>
      </c>
      <c r="L157" s="3" t="s">
        <v>12</v>
      </c>
      <c r="M157" s="1" t="s">
        <v>388</v>
      </c>
    </row>
    <row r="158">
      <c r="A158" s="4" t="str">
        <f>hyperlink("http://historiamujeres.es/mujerc.html#Castro_Ruiz","Castro Ruíz, Dolores")</f>
        <v>Castro Ruíz, Dolores</v>
      </c>
      <c r="B158" s="1" t="s">
        <v>389</v>
      </c>
      <c r="C158" s="1" t="s">
        <v>24</v>
      </c>
      <c r="D158" s="1" t="s">
        <v>27</v>
      </c>
      <c r="E158" s="1" t="s">
        <v>12</v>
      </c>
      <c r="F158" s="2">
        <v>1902.0</v>
      </c>
      <c r="G158" s="1" t="s">
        <v>12</v>
      </c>
      <c r="H158" s="1">
        <v>1965.0</v>
      </c>
      <c r="I158" s="1" t="s">
        <v>12</v>
      </c>
      <c r="J158" s="1" t="s">
        <v>390</v>
      </c>
      <c r="K158" s="1" t="s">
        <v>12</v>
      </c>
      <c r="L158" s="3" t="s">
        <v>12</v>
      </c>
      <c r="M158" s="1" t="s">
        <v>391</v>
      </c>
    </row>
    <row r="159">
      <c r="A159" s="4" t="str">
        <f>hyperlink("http://historiamujeres.es/mujerc.html#CASTRO","Castro, Estrellita")</f>
        <v>Castro, Estrellita</v>
      </c>
      <c r="B159" s="1" t="s">
        <v>12</v>
      </c>
      <c r="C159" s="1" t="s">
        <v>27</v>
      </c>
      <c r="D159" s="1" t="s">
        <v>68</v>
      </c>
      <c r="E159" s="1" t="s">
        <v>12</v>
      </c>
      <c r="F159" s="2">
        <v>1908.0</v>
      </c>
      <c r="G159" s="1" t="s">
        <v>12</v>
      </c>
      <c r="H159" s="1">
        <v>1983.0</v>
      </c>
      <c r="I159" s="1" t="s">
        <v>12</v>
      </c>
      <c r="J159" s="1" t="s">
        <v>392</v>
      </c>
      <c r="K159" s="1" t="s">
        <v>12</v>
      </c>
      <c r="L159" s="3" t="s">
        <v>12</v>
      </c>
      <c r="M159" s="1" t="s">
        <v>393</v>
      </c>
    </row>
    <row r="160">
      <c r="A160" s="11" t="str">
        <f>hyperlink("http://historiamujeres.es/mujerc.html#Castro-lita","Castro, Isabel")</f>
        <v>Castro, Isabel</v>
      </c>
      <c r="B160" s="9" t="s">
        <v>394</v>
      </c>
      <c r="C160" s="9" t="s">
        <v>26</v>
      </c>
      <c r="D160" s="9" t="s">
        <v>395</v>
      </c>
      <c r="E160" s="9" t="s">
        <v>396</v>
      </c>
      <c r="F160" s="15">
        <v>1929.0</v>
      </c>
      <c r="G160" s="9" t="s">
        <v>12</v>
      </c>
      <c r="H160" s="9">
        <v>2015.0</v>
      </c>
      <c r="I160" s="9" t="s">
        <v>12</v>
      </c>
      <c r="J160" s="9" t="s">
        <v>397</v>
      </c>
      <c r="K160" s="9" t="s">
        <v>12</v>
      </c>
      <c r="L160" s="14" t="s">
        <v>12</v>
      </c>
      <c r="M160" s="9" t="s">
        <v>12</v>
      </c>
    </row>
    <row r="161">
      <c r="A161" s="24" t="s">
        <v>398</v>
      </c>
      <c r="B161" s="9" t="s">
        <v>12</v>
      </c>
      <c r="C161" s="9" t="s">
        <v>26</v>
      </c>
      <c r="D161" s="9" t="s">
        <v>12</v>
      </c>
      <c r="E161" s="9" t="s">
        <v>12</v>
      </c>
      <c r="F161" s="13">
        <v>1973.0</v>
      </c>
      <c r="G161" s="13" t="s">
        <v>17</v>
      </c>
      <c r="H161" s="9" t="s">
        <v>12</v>
      </c>
      <c r="I161" s="9" t="s">
        <v>12</v>
      </c>
      <c r="J161" s="9" t="s">
        <v>399</v>
      </c>
      <c r="K161" s="9" t="s">
        <v>400</v>
      </c>
      <c r="L161" s="9" t="s">
        <v>12</v>
      </c>
      <c r="M161" s="9" t="s">
        <v>401</v>
      </c>
    </row>
    <row r="162">
      <c r="A162" s="4" t="str">
        <f>hyperlink("http://historiamujeres.es/mujerc.html#Celsa","Celsa, Marcia")</f>
        <v>Celsa, Marcia</v>
      </c>
      <c r="B162" s="1" t="s">
        <v>12</v>
      </c>
      <c r="C162" s="1" t="s">
        <v>12</v>
      </c>
      <c r="D162" s="1" t="s">
        <v>402</v>
      </c>
      <c r="E162" s="1" t="s">
        <v>12</v>
      </c>
      <c r="F162" s="5">
        <v>25.0</v>
      </c>
      <c r="G162" s="6" t="s">
        <v>43</v>
      </c>
      <c r="H162" s="6">
        <v>75.0</v>
      </c>
      <c r="I162" s="1" t="s">
        <v>12</v>
      </c>
      <c r="J162" s="1" t="s">
        <v>403</v>
      </c>
      <c r="K162" s="1" t="s">
        <v>12</v>
      </c>
      <c r="L162" s="3" t="s">
        <v>12</v>
      </c>
      <c r="M162" s="1" t="s">
        <v>12</v>
      </c>
    </row>
    <row r="163">
      <c r="A163" s="4" t="str">
        <f>hyperlink("http://historiamujeres.es/mujerc.html#CEPEDA","Cepeda y Mayo, María del Rosario")</f>
        <v>Cepeda y Mayo, María del Rosario</v>
      </c>
      <c r="B163" s="1" t="s">
        <v>12</v>
      </c>
      <c r="C163" s="1" t="s">
        <v>205</v>
      </c>
      <c r="D163" s="1" t="s">
        <v>68</v>
      </c>
      <c r="E163" s="1" t="s">
        <v>12</v>
      </c>
      <c r="F163" s="2">
        <v>1756.0</v>
      </c>
      <c r="G163" s="1" t="s">
        <v>12</v>
      </c>
      <c r="H163" s="1">
        <v>1816.0</v>
      </c>
      <c r="I163" s="1" t="s">
        <v>12</v>
      </c>
      <c r="J163" s="1" t="s">
        <v>404</v>
      </c>
      <c r="K163" s="1" t="s">
        <v>12</v>
      </c>
      <c r="L163" s="3" t="s">
        <v>12</v>
      </c>
      <c r="M163" s="1" t="s">
        <v>405</v>
      </c>
    </row>
    <row r="164">
      <c r="A164" s="4" t="str">
        <f>hyperlink("http://historiamujeres.es/mujerc.html#Cerda","Cerda, Elena de la")</f>
        <v>Cerda, Elena de la</v>
      </c>
      <c r="B164" s="1" t="s">
        <v>12</v>
      </c>
      <c r="C164" s="1" t="s">
        <v>12</v>
      </c>
      <c r="D164" s="1" t="s">
        <v>12</v>
      </c>
      <c r="E164" s="1" t="s">
        <v>27</v>
      </c>
      <c r="F164" s="5">
        <v>1650.0</v>
      </c>
      <c r="G164" s="6" t="s">
        <v>43</v>
      </c>
      <c r="H164" s="6">
        <v>1710.0</v>
      </c>
      <c r="I164" s="1">
        <v>1680.0</v>
      </c>
      <c r="J164" s="1" t="s">
        <v>216</v>
      </c>
      <c r="K164" s="1" t="s">
        <v>404</v>
      </c>
      <c r="L164" s="3" t="s">
        <v>12</v>
      </c>
      <c r="M164" s="1" t="s">
        <v>406</v>
      </c>
    </row>
    <row r="165">
      <c r="A165" s="4" t="str">
        <f>hyperlink("http://historiamujeres.es/mujerc.html#Cerrato","Cerrato Rodríguez, Maria")</f>
        <v>Cerrato Rodríguez, Maria</v>
      </c>
      <c r="B165" s="1" t="s">
        <v>12</v>
      </c>
      <c r="C165" s="1" t="s">
        <v>407</v>
      </c>
      <c r="D165" s="1" t="s">
        <v>12</v>
      </c>
      <c r="E165" s="1" t="s">
        <v>24</v>
      </c>
      <c r="F165" s="2">
        <v>1897.0</v>
      </c>
      <c r="G165" s="1" t="s">
        <v>12</v>
      </c>
      <c r="H165" s="1" t="s">
        <v>12</v>
      </c>
      <c r="I165" s="1" t="s">
        <v>12</v>
      </c>
      <c r="J165" s="1" t="s">
        <v>408</v>
      </c>
      <c r="K165" s="1" t="s">
        <v>12</v>
      </c>
      <c r="L165" s="3" t="s">
        <v>12</v>
      </c>
      <c r="M165" s="1" t="s">
        <v>409</v>
      </c>
    </row>
    <row r="166">
      <c r="A166" s="34" t="str">
        <f>hyperlink("http://historiamujeres.es/mujerc.html#Cespedes","Céspedes, Elena de")</f>
        <v>Céspedes, Elena de</v>
      </c>
      <c r="B166" s="9" t="s">
        <v>12</v>
      </c>
      <c r="C166" s="30" t="s">
        <v>410</v>
      </c>
      <c r="D166" s="9" t="s">
        <v>12</v>
      </c>
      <c r="E166" s="9" t="s">
        <v>12</v>
      </c>
      <c r="F166" s="35">
        <v>1546.0</v>
      </c>
      <c r="G166" s="9" t="s">
        <v>12</v>
      </c>
      <c r="H166" s="35">
        <v>1588.0</v>
      </c>
      <c r="I166" s="9" t="s">
        <v>12</v>
      </c>
      <c r="J166" s="9" t="s">
        <v>411</v>
      </c>
      <c r="K166" s="35" t="s">
        <v>204</v>
      </c>
      <c r="L166" s="14" t="s">
        <v>412</v>
      </c>
      <c r="M166" s="9" t="s">
        <v>413</v>
      </c>
    </row>
    <row r="167">
      <c r="A167" s="4" t="str">
        <f>hyperlink("http://historiamujeres.es/mujerc.html#Chofle","Chofle Miranda, Pilar")</f>
        <v>Chofle Miranda, Pilar</v>
      </c>
      <c r="B167" s="1" t="s">
        <v>12</v>
      </c>
      <c r="C167" s="1" t="s">
        <v>24</v>
      </c>
      <c r="D167" s="1" t="s">
        <v>12</v>
      </c>
      <c r="E167" s="1" t="s">
        <v>12</v>
      </c>
      <c r="F167" s="5">
        <v>1940.0</v>
      </c>
      <c r="G167" s="6" t="s">
        <v>17</v>
      </c>
      <c r="H167" s="1" t="s">
        <v>12</v>
      </c>
      <c r="I167" s="1">
        <v>2008.0</v>
      </c>
      <c r="J167" s="1" t="s">
        <v>414</v>
      </c>
      <c r="K167" s="1" t="s">
        <v>12</v>
      </c>
      <c r="L167" s="3" t="s">
        <v>12</v>
      </c>
      <c r="M167" s="1" t="s">
        <v>12</v>
      </c>
    </row>
    <row r="168">
      <c r="A168" s="4" t="str">
        <f>hyperlink("http://historiamujeres.es/mujerc.html#Cienfuegos","Cienfuegos, Beatríz")</f>
        <v>Cienfuegos, Beatríz</v>
      </c>
      <c r="B168" s="1" t="s">
        <v>415</v>
      </c>
      <c r="C168" s="1" t="s">
        <v>205</v>
      </c>
      <c r="D168" s="1" t="s">
        <v>12</v>
      </c>
      <c r="E168" s="1" t="s">
        <v>12</v>
      </c>
      <c r="F168" s="2" t="s">
        <v>12</v>
      </c>
      <c r="G168" s="1" t="s">
        <v>12</v>
      </c>
      <c r="H168" s="1" t="s">
        <v>12</v>
      </c>
      <c r="I168" s="1">
        <v>1763.0</v>
      </c>
      <c r="J168" s="1" t="s">
        <v>416</v>
      </c>
      <c r="K168" s="1" t="s">
        <v>113</v>
      </c>
      <c r="L168" s="3" t="s">
        <v>12</v>
      </c>
      <c r="M168" s="1" t="s">
        <v>417</v>
      </c>
    </row>
    <row r="169">
      <c r="A169" s="4" t="str">
        <f>hyperlink("http://historiamujeres.es/mujerc.html#Cientificas","Científicas represaliadas de la Generación de plata")</f>
        <v>Científicas represaliadas de la Generación de plata</v>
      </c>
      <c r="B169" s="1" t="s">
        <v>12</v>
      </c>
      <c r="C169" s="1" t="s">
        <v>12</v>
      </c>
      <c r="D169" s="1" t="s">
        <v>146</v>
      </c>
      <c r="E169" s="1" t="s">
        <v>12</v>
      </c>
      <c r="F169" s="5">
        <v>1887.0</v>
      </c>
      <c r="G169" s="6" t="s">
        <v>43</v>
      </c>
      <c r="H169" s="1" t="s">
        <v>12</v>
      </c>
      <c r="I169" s="1" t="s">
        <v>12</v>
      </c>
      <c r="J169" s="1" t="s">
        <v>418</v>
      </c>
      <c r="K169" s="1" t="s">
        <v>419</v>
      </c>
      <c r="L169" s="3" t="s">
        <v>420</v>
      </c>
      <c r="M169" s="1" t="s">
        <v>421</v>
      </c>
    </row>
    <row r="170">
      <c r="A170" s="4" t="str">
        <f>hyperlink("http://historiamujeres.es/mujerc.html#CIGARRERA","Cigarrera")</f>
        <v>Cigarrera</v>
      </c>
      <c r="B170" s="1" t="s">
        <v>422</v>
      </c>
      <c r="C170" s="1" t="s">
        <v>12</v>
      </c>
      <c r="D170" s="1" t="s">
        <v>12</v>
      </c>
      <c r="E170" s="1" t="s">
        <v>12</v>
      </c>
      <c r="F170" s="2">
        <v>1812.0</v>
      </c>
      <c r="G170" s="1" t="s">
        <v>12</v>
      </c>
      <c r="H170" s="1">
        <v>2007.0</v>
      </c>
      <c r="I170" s="1" t="s">
        <v>12</v>
      </c>
      <c r="J170" s="1" t="s">
        <v>423</v>
      </c>
      <c r="K170" s="1" t="s">
        <v>424</v>
      </c>
      <c r="L170" s="3" t="s">
        <v>425</v>
      </c>
      <c r="M170" s="1" t="s">
        <v>426</v>
      </c>
    </row>
    <row r="171">
      <c r="A171" s="4" t="str">
        <f>hyperlink("http://historiamujeres.es/mujerc.html#Ciria","Ciria, Carmen")</f>
        <v>Ciria, Carmen</v>
      </c>
      <c r="B171" s="1" t="s">
        <v>12</v>
      </c>
      <c r="C171" s="1" t="s">
        <v>427</v>
      </c>
      <c r="D171" s="1" t="s">
        <v>12</v>
      </c>
      <c r="E171" s="1" t="s">
        <v>129</v>
      </c>
      <c r="F171" s="2">
        <v>1950.0</v>
      </c>
      <c r="G171" s="1" t="s">
        <v>12</v>
      </c>
      <c r="H171" s="1" t="s">
        <v>12</v>
      </c>
      <c r="I171" s="1" t="s">
        <v>12</v>
      </c>
      <c r="J171" s="1" t="s">
        <v>73</v>
      </c>
      <c r="K171" s="1" t="s">
        <v>12</v>
      </c>
      <c r="L171" s="3" t="s">
        <v>12</v>
      </c>
      <c r="M171" s="1" t="s">
        <v>12</v>
      </c>
    </row>
    <row r="172">
      <c r="A172" s="4" t="str">
        <f>hyperlink("http://historiamujeres.es/mujerc.html#Club_republicano","Club republicano femenino Mariana Pineda")</f>
        <v>Club republicano femenino Mariana Pineda</v>
      </c>
      <c r="B172" s="1" t="s">
        <v>12</v>
      </c>
      <c r="C172" s="1" t="s">
        <v>205</v>
      </c>
      <c r="D172" s="1" t="s">
        <v>205</v>
      </c>
      <c r="E172" s="1" t="s">
        <v>12</v>
      </c>
      <c r="F172" s="2">
        <v>1869.0</v>
      </c>
      <c r="G172" s="6" t="s">
        <v>92</v>
      </c>
      <c r="H172" s="6">
        <v>1874.0</v>
      </c>
      <c r="I172" s="1" t="s">
        <v>12</v>
      </c>
      <c r="J172" s="1" t="s">
        <v>179</v>
      </c>
      <c r="K172" s="1" t="s">
        <v>180</v>
      </c>
      <c r="L172" s="3" t="s">
        <v>12</v>
      </c>
      <c r="M172" s="1" t="s">
        <v>12</v>
      </c>
    </row>
    <row r="173">
      <c r="A173" s="7" t="str">
        <f>hyperlink("http://historiamujeres.es/mujerc.html#Cobacho","Cobacho Cañete, Ricarda Ana")</f>
        <v>Cobacho Cañete, Ricarda Ana</v>
      </c>
      <c r="B173" s="1" t="s">
        <v>12</v>
      </c>
      <c r="C173" s="9" t="s">
        <v>428</v>
      </c>
      <c r="D173" s="9" t="s">
        <v>428</v>
      </c>
      <c r="E173" s="1" t="s">
        <v>12</v>
      </c>
      <c r="F173" s="9">
        <v>1900.0</v>
      </c>
      <c r="G173" s="1" t="s">
        <v>12</v>
      </c>
      <c r="H173" s="9">
        <v>1936.0</v>
      </c>
      <c r="I173" s="1" t="s">
        <v>12</v>
      </c>
      <c r="J173" s="9" t="s">
        <v>429</v>
      </c>
      <c r="K173" s="9" t="s">
        <v>430</v>
      </c>
      <c r="L173" s="19" t="s">
        <v>431</v>
      </c>
    </row>
    <row r="174">
      <c r="A174" s="24" t="s">
        <v>432</v>
      </c>
      <c r="B174" s="36" t="s">
        <v>433</v>
      </c>
      <c r="C174" s="9" t="s">
        <v>434</v>
      </c>
      <c r="D174" s="9" t="s">
        <v>357</v>
      </c>
      <c r="E174" s="9" t="s">
        <v>27</v>
      </c>
      <c r="F174" s="13">
        <v>1875.0</v>
      </c>
      <c r="G174" s="13" t="s">
        <v>17</v>
      </c>
      <c r="H174" s="9">
        <v>1960.0</v>
      </c>
      <c r="I174" s="9"/>
      <c r="J174" s="9" t="s">
        <v>216</v>
      </c>
      <c r="K174" s="9" t="s">
        <v>188</v>
      </c>
      <c r="L174" s="9" t="s">
        <v>435</v>
      </c>
      <c r="M174" s="9" t="s">
        <v>12</v>
      </c>
    </row>
    <row r="175">
      <c r="A175" s="22" t="str">
        <f>hyperlink("http://historiamujeres.es/mujerc.html#Collado","Collado Gómiz, Josefa")</f>
        <v>Collado Gómiz, Josefa</v>
      </c>
      <c r="B175" s="9" t="s">
        <v>12</v>
      </c>
      <c r="C175" s="9" t="s">
        <v>26</v>
      </c>
      <c r="D175" s="9" t="s">
        <v>26</v>
      </c>
      <c r="E175" s="9" t="s">
        <v>12</v>
      </c>
      <c r="F175" s="13">
        <v>1920.0</v>
      </c>
      <c r="G175" s="6" t="s">
        <v>43</v>
      </c>
      <c r="H175" s="13">
        <v>1994.0</v>
      </c>
      <c r="I175" s="9" t="s">
        <v>12</v>
      </c>
      <c r="J175" s="9" t="s">
        <v>436</v>
      </c>
      <c r="K175" s="9" t="s">
        <v>437</v>
      </c>
      <c r="L175" s="14" t="s">
        <v>12</v>
      </c>
      <c r="M175" s="9" t="s">
        <v>438</v>
      </c>
    </row>
    <row r="176">
      <c r="A176" s="4" t="str">
        <f>hyperlink("http://historiamujeres.es/mujerc.html#COLOMe","Colomé Ruiz, Antonia")</f>
        <v>Colomé Ruiz, Antonia</v>
      </c>
      <c r="B176" s="1" t="s">
        <v>12</v>
      </c>
      <c r="C176" s="1" t="s">
        <v>27</v>
      </c>
      <c r="D176" s="1" t="s">
        <v>68</v>
      </c>
      <c r="E176" s="1" t="s">
        <v>12</v>
      </c>
      <c r="F176" s="2">
        <v>1910.0</v>
      </c>
      <c r="G176" s="1" t="s">
        <v>12</v>
      </c>
      <c r="H176" s="1">
        <v>2005.0</v>
      </c>
      <c r="I176" s="1" t="s">
        <v>12</v>
      </c>
      <c r="J176" s="1" t="s">
        <v>439</v>
      </c>
      <c r="K176" s="1" t="s">
        <v>12</v>
      </c>
      <c r="L176" s="3" t="s">
        <v>12</v>
      </c>
      <c r="M176" s="1" t="s">
        <v>440</v>
      </c>
    </row>
    <row r="177">
      <c r="A177" s="4" t="str">
        <f>hyperlink("http://historiamujeres.es/mujerc.html#COLUMBA","Columba, Santa")</f>
        <v>Columba, Santa</v>
      </c>
      <c r="B177" s="1" t="s">
        <v>12</v>
      </c>
      <c r="C177" s="1" t="s">
        <v>24</v>
      </c>
      <c r="D177" s="1" t="s">
        <v>24</v>
      </c>
      <c r="E177" s="1" t="s">
        <v>12</v>
      </c>
      <c r="F177" s="5">
        <v>815.0</v>
      </c>
      <c r="G177" s="6" t="s">
        <v>17</v>
      </c>
      <c r="H177" s="1">
        <v>853.0</v>
      </c>
      <c r="I177" s="1" t="s">
        <v>12</v>
      </c>
      <c r="J177" s="1" t="s">
        <v>441</v>
      </c>
      <c r="K177" s="1" t="s">
        <v>12</v>
      </c>
      <c r="L177" s="3" t="s">
        <v>12</v>
      </c>
      <c r="M177" s="1" t="s">
        <v>72</v>
      </c>
    </row>
    <row r="178">
      <c r="A178" s="4" t="str">
        <f>hyperlink("http://historiamujeres.es/mujerc.html#Comba","Comba")</f>
        <v>Comba</v>
      </c>
      <c r="B178" s="1" t="s">
        <v>12</v>
      </c>
      <c r="C178" s="1" t="s">
        <v>442</v>
      </c>
      <c r="D178" s="1" t="s">
        <v>12</v>
      </c>
      <c r="E178" s="1" t="s">
        <v>27</v>
      </c>
      <c r="F178" s="16" t="s">
        <v>12</v>
      </c>
      <c r="G178" s="17" t="s">
        <v>12</v>
      </c>
      <c r="H178" s="17" t="s">
        <v>12</v>
      </c>
      <c r="I178" s="1">
        <v>1520.0</v>
      </c>
      <c r="J178" s="1" t="s">
        <v>443</v>
      </c>
      <c r="K178" s="1" t="s">
        <v>350</v>
      </c>
      <c r="L178" s="3" t="s">
        <v>12</v>
      </c>
      <c r="M178" s="1" t="s">
        <v>12</v>
      </c>
    </row>
    <row r="179">
      <c r="A179" s="11" t="str">
        <f>hyperlink("http://historiamujeres.es/mujerc.html#Comisiones","Comisiones Obreras, Mujeres homenajeadas por")</f>
        <v>Comisiones Obreras, Mujeres homenajeadas por</v>
      </c>
      <c r="B179" s="9" t="s">
        <v>12</v>
      </c>
      <c r="C179" s="9" t="s">
        <v>444</v>
      </c>
      <c r="D179" s="9" t="s">
        <v>12</v>
      </c>
      <c r="E179" s="9" t="s">
        <v>12</v>
      </c>
      <c r="F179" s="15">
        <v>2006.0</v>
      </c>
      <c r="G179" s="9" t="s">
        <v>12</v>
      </c>
      <c r="H179" s="9" t="s">
        <v>12</v>
      </c>
      <c r="I179" s="9">
        <v>1970.0</v>
      </c>
      <c r="J179" s="9" t="s">
        <v>423</v>
      </c>
      <c r="K179" s="9" t="s">
        <v>445</v>
      </c>
      <c r="L179" s="3"/>
      <c r="M179" s="9" t="s">
        <v>446</v>
      </c>
    </row>
    <row r="180">
      <c r="A180" s="4" t="str">
        <f>hyperlink("http://historiamujeres.es/mujerc.html#Conchillo","Conchillo Jiménez, Angela")</f>
        <v>Conchillo Jiménez, Angela</v>
      </c>
      <c r="C180" s="1" t="s">
        <v>26</v>
      </c>
      <c r="F180" s="2">
        <v>1949.0</v>
      </c>
      <c r="G180" s="1" t="s">
        <v>12</v>
      </c>
      <c r="H180" s="1">
        <v>2012.0</v>
      </c>
      <c r="J180" s="1" t="s">
        <v>447</v>
      </c>
      <c r="K180" s="1" t="s">
        <v>448</v>
      </c>
      <c r="L180" s="3"/>
      <c r="M180" s="1" t="s">
        <v>12</v>
      </c>
    </row>
    <row r="181">
      <c r="A181" s="11" t="str">
        <f>hyperlink("http://historiamujeres.es/mujerc.html#Conde","Conde Abellán, Carmen")</f>
        <v>Conde Abellán, Carmen</v>
      </c>
      <c r="B181" s="9" t="s">
        <v>12</v>
      </c>
      <c r="C181" s="9" t="s">
        <v>449</v>
      </c>
      <c r="D181" s="9" t="s">
        <v>450</v>
      </c>
      <c r="E181" s="9" t="s">
        <v>26</v>
      </c>
      <c r="F181" s="15">
        <v>1907.0</v>
      </c>
      <c r="G181" s="1"/>
      <c r="H181" s="9">
        <v>1996.0</v>
      </c>
      <c r="I181" s="9">
        <v>1979.0</v>
      </c>
      <c r="J181" s="9" t="s">
        <v>451</v>
      </c>
      <c r="K181" s="9" t="s">
        <v>452</v>
      </c>
      <c r="L181" s="14" t="s">
        <v>188</v>
      </c>
      <c r="M181" s="9" t="s">
        <v>453</v>
      </c>
    </row>
    <row r="182">
      <c r="A182" s="4" t="str">
        <f>hyperlink("http://historiamujeres.es/mujerc.html#CONTRERAS","Contreras de Rodríguez, María del Pilar")</f>
        <v>Contreras de Rodríguez, María del Pilar</v>
      </c>
      <c r="B182" s="1" t="s">
        <v>12</v>
      </c>
      <c r="C182" s="1" t="s">
        <v>64</v>
      </c>
      <c r="D182" s="1" t="s">
        <v>68</v>
      </c>
      <c r="E182" s="1" t="s">
        <v>12</v>
      </c>
      <c r="F182" s="2">
        <v>1861.0</v>
      </c>
      <c r="G182" s="1" t="s">
        <v>12</v>
      </c>
      <c r="H182" s="1">
        <v>1930.0</v>
      </c>
      <c r="I182" s="1" t="s">
        <v>12</v>
      </c>
      <c r="J182" s="1" t="s">
        <v>60</v>
      </c>
      <c r="K182" s="1" t="s">
        <v>454</v>
      </c>
      <c r="L182" s="3" t="s">
        <v>12</v>
      </c>
      <c r="M182" s="1" t="s">
        <v>12</v>
      </c>
    </row>
    <row r="183">
      <c r="A183" s="7" t="str">
        <f>hyperlink("http://historiamujeres.es/mujerc.html#Contreras_Fern","Contreras Fernández, Laura")</f>
        <v>Contreras Fernández, Laura</v>
      </c>
      <c r="B183" s="1" t="s">
        <v>12</v>
      </c>
      <c r="C183" s="9" t="s">
        <v>455</v>
      </c>
      <c r="D183" s="9" t="s">
        <v>456</v>
      </c>
      <c r="E183" s="9" t="s">
        <v>457</v>
      </c>
      <c r="F183" s="9">
        <v>1908.0</v>
      </c>
      <c r="G183" s="13" t="s">
        <v>92</v>
      </c>
      <c r="H183" s="13">
        <v>1995.0</v>
      </c>
      <c r="I183" s="1" t="s">
        <v>12</v>
      </c>
      <c r="J183" s="9" t="s">
        <v>188</v>
      </c>
      <c r="K183" s="9" t="s">
        <v>458</v>
      </c>
      <c r="L183" s="19" t="s">
        <v>459</v>
      </c>
    </row>
    <row r="184">
      <c r="A184" s="4" t="str">
        <f>hyperlink("http://historiamujeres.es/mujerc.html#Copistas","Copistas cordobesas")</f>
        <v>Copistas cordobesas</v>
      </c>
      <c r="B184" s="1" t="s">
        <v>12</v>
      </c>
      <c r="C184" s="1" t="s">
        <v>12</v>
      </c>
      <c r="D184" s="1" t="s">
        <v>12</v>
      </c>
      <c r="E184" s="1" t="s">
        <v>24</v>
      </c>
      <c r="F184" s="5">
        <v>930.0</v>
      </c>
      <c r="G184" s="6" t="s">
        <v>43</v>
      </c>
      <c r="H184" s="6">
        <v>1000.0</v>
      </c>
      <c r="I184" s="1" t="s">
        <v>12</v>
      </c>
      <c r="J184" s="1" t="s">
        <v>460</v>
      </c>
      <c r="K184" s="1" t="s">
        <v>12</v>
      </c>
      <c r="L184" s="3" t="s">
        <v>12</v>
      </c>
      <c r="M184" s="1" t="s">
        <v>72</v>
      </c>
    </row>
    <row r="185">
      <c r="A185" s="7" t="str">
        <f>hyperlink("http://historiamujeres.es/mujerc.html#Cordero","Cordero Matía, María Elisa")</f>
        <v>Cordero Matía, María Elisa</v>
      </c>
      <c r="B185" s="9" t="s">
        <v>12</v>
      </c>
      <c r="C185" s="9" t="s">
        <v>64</v>
      </c>
      <c r="D185" s="9" t="s">
        <v>12</v>
      </c>
      <c r="E185" s="9" t="s">
        <v>12</v>
      </c>
      <c r="F185" s="29">
        <v>1970.0</v>
      </c>
      <c r="G185" s="21" t="s">
        <v>12</v>
      </c>
      <c r="H185" s="21" t="s">
        <v>12</v>
      </c>
      <c r="I185" s="9" t="s">
        <v>12</v>
      </c>
      <c r="J185" s="9" t="s">
        <v>461</v>
      </c>
      <c r="K185" s="9" t="s">
        <v>12</v>
      </c>
      <c r="L185" s="19" t="s">
        <v>12</v>
      </c>
      <c r="M185" s="9" t="s">
        <v>462</v>
      </c>
    </row>
    <row r="186">
      <c r="A186" s="7" t="str">
        <f>hyperlink("http://historiamujeres.es/mujerc.html#Cordoba","Córdoba, Represaliadas por el Franquismo en")</f>
        <v>Córdoba, Represaliadas por el Franquismo en</v>
      </c>
      <c r="B186" s="9" t="s">
        <v>12</v>
      </c>
      <c r="C186" s="9" t="s">
        <v>24</v>
      </c>
      <c r="D186" s="9" t="s">
        <v>24</v>
      </c>
      <c r="E186" s="9" t="s">
        <v>12</v>
      </c>
      <c r="F186" s="15">
        <v>1936.0</v>
      </c>
      <c r="G186" s="9" t="s">
        <v>12</v>
      </c>
      <c r="H186" s="9">
        <v>1945.0</v>
      </c>
      <c r="I186" s="9" t="s">
        <v>12</v>
      </c>
      <c r="J186" s="9" t="s">
        <v>420</v>
      </c>
      <c r="K186" s="9" t="s">
        <v>463</v>
      </c>
      <c r="L186" s="14" t="s">
        <v>12</v>
      </c>
      <c r="M186" s="9" t="s">
        <v>12</v>
      </c>
    </row>
    <row r="187">
      <c r="A187" s="7" t="s">
        <v>464</v>
      </c>
      <c r="B187" s="8" t="s">
        <v>465</v>
      </c>
      <c r="C187" s="8" t="s">
        <v>205</v>
      </c>
      <c r="D187" s="8" t="s">
        <v>205</v>
      </c>
      <c r="E187" s="8" t="s">
        <v>12</v>
      </c>
      <c r="F187" s="8">
        <v>1947.0</v>
      </c>
      <c r="G187" s="8" t="s">
        <v>12</v>
      </c>
      <c r="H187" s="37">
        <v>2013.0</v>
      </c>
      <c r="I187" s="8" t="s">
        <v>12</v>
      </c>
      <c r="J187" s="8" t="s">
        <v>69</v>
      </c>
      <c r="K187" s="8" t="s">
        <v>12</v>
      </c>
      <c r="L187" s="8" t="s">
        <v>12</v>
      </c>
      <c r="M187" s="8" t="s">
        <v>466</v>
      </c>
    </row>
    <row r="188">
      <c r="A188" s="4" t="str">
        <f>hyperlink("http://historiamujeres.es/mujerc.html#Coronel","Coronel, María")</f>
        <v>Coronel, María</v>
      </c>
      <c r="B188" s="1" t="s">
        <v>12</v>
      </c>
      <c r="C188" s="1" t="s">
        <v>27</v>
      </c>
      <c r="D188" s="1" t="s">
        <v>27</v>
      </c>
      <c r="E188" s="1" t="s">
        <v>12</v>
      </c>
      <c r="F188" s="2">
        <v>1334.0</v>
      </c>
      <c r="G188" s="1" t="s">
        <v>12</v>
      </c>
      <c r="H188" s="1">
        <v>1411.0</v>
      </c>
      <c r="I188" s="1" t="s">
        <v>12</v>
      </c>
      <c r="J188" s="1" t="s">
        <v>467</v>
      </c>
      <c r="K188" s="1" t="s">
        <v>12</v>
      </c>
      <c r="L188" s="3" t="s">
        <v>12</v>
      </c>
      <c r="M188" s="1" t="s">
        <v>468</v>
      </c>
    </row>
    <row r="189">
      <c r="A189" s="4" t="str">
        <f>hyperlink("http://historiamujeres.es/mujerc.html#Corrales","Corrales González, Matilde")</f>
        <v>Corrales González, Matilde</v>
      </c>
      <c r="B189" s="1" t="s">
        <v>469</v>
      </c>
      <c r="C189" s="1" t="s">
        <v>27</v>
      </c>
      <c r="D189" s="1" t="s">
        <v>12</v>
      </c>
      <c r="E189" s="1" t="s">
        <v>12</v>
      </c>
      <c r="F189" s="2">
        <v>1935.0</v>
      </c>
      <c r="G189" s="1" t="s">
        <v>12</v>
      </c>
      <c r="H189" s="1" t="s">
        <v>12</v>
      </c>
      <c r="I189" s="1" t="s">
        <v>12</v>
      </c>
      <c r="J189" s="1" t="s">
        <v>145</v>
      </c>
      <c r="K189" s="1" t="s">
        <v>12</v>
      </c>
      <c r="L189" s="3" t="s">
        <v>12</v>
      </c>
      <c r="M189" s="1" t="s">
        <v>36</v>
      </c>
    </row>
    <row r="190">
      <c r="A190" s="4" t="str">
        <f>hyperlink("http://historiamujeres.es/mujerc.html#Correa","Correa Ramón, Amelina")</f>
        <v>Correa Ramón, Amelina</v>
      </c>
      <c r="B190" s="1" t="s">
        <v>12</v>
      </c>
      <c r="C190" s="1" t="s">
        <v>30</v>
      </c>
      <c r="D190" s="1" t="s">
        <v>12</v>
      </c>
      <c r="E190" s="1" t="s">
        <v>12</v>
      </c>
      <c r="F190" s="2">
        <v>1967.0</v>
      </c>
      <c r="G190" s="1" t="s">
        <v>12</v>
      </c>
      <c r="H190" s="1" t="s">
        <v>12</v>
      </c>
      <c r="I190" s="1" t="s">
        <v>12</v>
      </c>
      <c r="J190" s="1" t="s">
        <v>177</v>
      </c>
      <c r="K190" s="1" t="s">
        <v>70</v>
      </c>
      <c r="L190" s="3" t="s">
        <v>12</v>
      </c>
      <c r="M190" s="1" t="s">
        <v>124</v>
      </c>
    </row>
    <row r="191">
      <c r="A191" s="4" t="str">
        <f>hyperlink("http://historiamujeres.es/mujerc.html#Cozar","Cózar Gutiérrez, Mª Ángeles")</f>
        <v>Cózar Gutiérrez, Mª Ángeles</v>
      </c>
      <c r="B191" s="1" t="s">
        <v>12</v>
      </c>
      <c r="C191" s="1" t="s">
        <v>12</v>
      </c>
      <c r="D191" s="1" t="s">
        <v>12</v>
      </c>
      <c r="E191" s="1" t="s">
        <v>205</v>
      </c>
      <c r="F191" s="5">
        <v>1945.0</v>
      </c>
      <c r="G191" s="6" t="s">
        <v>17</v>
      </c>
      <c r="H191" s="1" t="s">
        <v>12</v>
      </c>
      <c r="I191" s="1">
        <v>2005.0</v>
      </c>
      <c r="J191" s="1" t="s">
        <v>470</v>
      </c>
      <c r="K191" s="1" t="s">
        <v>12</v>
      </c>
      <c r="L191" s="3" t="s">
        <v>12</v>
      </c>
      <c r="M191" s="1" t="s">
        <v>471</v>
      </c>
    </row>
    <row r="192">
      <c r="A192" s="7" t="str">
        <f>hyperlink("http://historiamujeres.es/mujerc.html#Crespo","Crespo Díaz, Carmen")</f>
        <v>Crespo Díaz, Carmen</v>
      </c>
      <c r="B192" s="9" t="s">
        <v>12</v>
      </c>
      <c r="C192" s="20" t="s">
        <v>402</v>
      </c>
      <c r="D192" s="9" t="s">
        <v>12</v>
      </c>
      <c r="E192" s="9" t="s">
        <v>12</v>
      </c>
      <c r="F192" s="29">
        <v>1966.0</v>
      </c>
      <c r="G192" s="21" t="s">
        <v>12</v>
      </c>
      <c r="H192" s="21" t="s">
        <v>12</v>
      </c>
      <c r="I192" s="9" t="s">
        <v>12</v>
      </c>
      <c r="J192" s="9" t="s">
        <v>472</v>
      </c>
      <c r="K192" s="9" t="s">
        <v>12</v>
      </c>
      <c r="L192" s="19" t="s">
        <v>12</v>
      </c>
      <c r="M192" s="9" t="s">
        <v>473</v>
      </c>
    </row>
    <row r="193">
      <c r="A193" s="4" t="str">
        <f>hyperlink("http://historiamujeres.es/mujerc.html#Creusis","Creusis")</f>
        <v>Creusis</v>
      </c>
      <c r="B193" s="1" t="s">
        <v>12</v>
      </c>
      <c r="C193" s="1" t="s">
        <v>12</v>
      </c>
      <c r="D193" s="1" t="s">
        <v>402</v>
      </c>
      <c r="E193" s="1" t="s">
        <v>12</v>
      </c>
      <c r="F193" s="5">
        <v>20.0</v>
      </c>
      <c r="G193" s="6" t="s">
        <v>43</v>
      </c>
      <c r="H193" s="6">
        <v>80.0</v>
      </c>
      <c r="I193" s="1" t="s">
        <v>12</v>
      </c>
      <c r="J193" s="1" t="s">
        <v>35</v>
      </c>
      <c r="K193" s="1" t="s">
        <v>12</v>
      </c>
      <c r="L193" s="3" t="s">
        <v>12</v>
      </c>
      <c r="M193" s="1" t="s">
        <v>12</v>
      </c>
    </row>
    <row r="194">
      <c r="A194" s="4" t="str">
        <f>hyperlink("http://historiamujeres.es/mujerc.html#Cruzc","Cruz Castro, Laura")</f>
        <v>Cruz Castro, Laura</v>
      </c>
      <c r="B194" s="1" t="s">
        <v>12</v>
      </c>
      <c r="C194" s="1" t="s">
        <v>12</v>
      </c>
      <c r="D194" s="1" t="s">
        <v>12</v>
      </c>
      <c r="E194" s="1" t="s">
        <v>30</v>
      </c>
      <c r="F194" s="5">
        <v>1970.0</v>
      </c>
      <c r="G194" s="6" t="s">
        <v>17</v>
      </c>
      <c r="H194" s="1" t="s">
        <v>12</v>
      </c>
      <c r="I194" s="1">
        <v>2001.0</v>
      </c>
      <c r="J194" s="1" t="s">
        <v>474</v>
      </c>
      <c r="K194" s="1" t="s">
        <v>12</v>
      </c>
      <c r="L194" s="3" t="s">
        <v>12</v>
      </c>
      <c r="M194" s="1" t="s">
        <v>12</v>
      </c>
    </row>
    <row r="195">
      <c r="A195" s="4" t="str">
        <f>hyperlink("http://historiamujeres.es/mujerc.html#CruzS","Cruz Schroh, Arantxa")</f>
        <v>Cruz Schroh, Arantxa</v>
      </c>
      <c r="B195" s="1" t="s">
        <v>12</v>
      </c>
      <c r="C195" s="1" t="s">
        <v>12</v>
      </c>
      <c r="D195" s="1" t="s">
        <v>12</v>
      </c>
      <c r="E195" s="1" t="s">
        <v>12</v>
      </c>
      <c r="F195" s="5">
        <v>1976.0</v>
      </c>
      <c r="G195" s="6" t="s">
        <v>17</v>
      </c>
      <c r="H195" s="1" t="s">
        <v>12</v>
      </c>
      <c r="I195" s="1" t="s">
        <v>12</v>
      </c>
      <c r="J195" s="1" t="s">
        <v>475</v>
      </c>
      <c r="K195" s="1" t="s">
        <v>12</v>
      </c>
      <c r="L195" s="3" t="s">
        <v>12</v>
      </c>
      <c r="M195" s="1" t="s">
        <v>36</v>
      </c>
    </row>
    <row r="196">
      <c r="A196" s="4" t="str">
        <f>hyperlink("http://historiamujeres.es/mujerc.html#CRUZ","Cruz, Magdalena de la")</f>
        <v>Cruz, Magdalena de la</v>
      </c>
      <c r="B196" s="1" t="s">
        <v>12</v>
      </c>
      <c r="C196" s="1" t="s">
        <v>476</v>
      </c>
      <c r="D196" s="1" t="s">
        <v>27</v>
      </c>
      <c r="E196" s="1" t="s">
        <v>12</v>
      </c>
      <c r="F196" s="2">
        <v>1487.0</v>
      </c>
      <c r="G196" s="1" t="s">
        <v>12</v>
      </c>
      <c r="H196" s="1">
        <v>1560.0</v>
      </c>
      <c r="I196" s="1" t="s">
        <v>12</v>
      </c>
      <c r="J196" s="1" t="s">
        <v>477</v>
      </c>
      <c r="K196" s="1" t="s">
        <v>154</v>
      </c>
      <c r="L196" s="3" t="s">
        <v>12</v>
      </c>
      <c r="M196" s="1" t="s">
        <v>12</v>
      </c>
    </row>
    <row r="197">
      <c r="A197" s="4" t="str">
        <f>hyperlink("http://historiamujeres.es/mujerc.html#Cruzada","Cruzada de Mujeres Españolas, La")</f>
        <v>Cruzada de Mujeres Españolas, La</v>
      </c>
      <c r="B197" s="9" t="s">
        <v>12</v>
      </c>
      <c r="C197" s="1" t="s">
        <v>68</v>
      </c>
      <c r="D197" s="9" t="s">
        <v>12</v>
      </c>
      <c r="E197" s="1" t="s">
        <v>26</v>
      </c>
      <c r="F197" s="2">
        <v>1921.0</v>
      </c>
      <c r="G197" s="1" t="s">
        <v>12</v>
      </c>
      <c r="H197" s="1" t="s">
        <v>12</v>
      </c>
      <c r="I197" s="1" t="s">
        <v>12</v>
      </c>
      <c r="J197" s="1" t="s">
        <v>478</v>
      </c>
      <c r="K197" s="9" t="s">
        <v>12</v>
      </c>
      <c r="L197" s="19" t="s">
        <v>12</v>
      </c>
      <c r="M197" s="1"/>
    </row>
    <row r="198">
      <c r="A198" s="24" t="s">
        <v>479</v>
      </c>
      <c r="B198" s="8" t="s">
        <v>12</v>
      </c>
      <c r="C198" s="8" t="s">
        <v>27</v>
      </c>
      <c r="D198" s="8" t="s">
        <v>12</v>
      </c>
      <c r="E198" s="8" t="s">
        <v>12</v>
      </c>
      <c r="F198" s="8">
        <v>1984.0</v>
      </c>
      <c r="G198" s="8" t="s">
        <v>12</v>
      </c>
      <c r="H198" s="8" t="s">
        <v>12</v>
      </c>
      <c r="I198" s="8" t="s">
        <v>12</v>
      </c>
      <c r="J198" s="8" t="s">
        <v>480</v>
      </c>
      <c r="K198" s="8" t="s">
        <v>12</v>
      </c>
      <c r="L198" s="8" t="s">
        <v>12</v>
      </c>
      <c r="M198" s="8" t="s">
        <v>481</v>
      </c>
    </row>
    <row r="199">
      <c r="A199" s="11" t="str">
        <f>hyperlink("http://historiamujeres.es/mujerc.html#Cuesta","Cuesta Martínez, Inmaculada")</f>
        <v>Cuesta Martínez, Inmaculada</v>
      </c>
      <c r="B199" s="9" t="s">
        <v>482</v>
      </c>
      <c r="C199" s="9" t="s">
        <v>178</v>
      </c>
      <c r="D199" s="9" t="s">
        <v>12</v>
      </c>
      <c r="E199" s="9" t="s">
        <v>24</v>
      </c>
      <c r="F199" s="15">
        <v>1980.0</v>
      </c>
      <c r="G199" s="9" t="s">
        <v>12</v>
      </c>
      <c r="H199" s="9" t="s">
        <v>12</v>
      </c>
      <c r="I199" s="9" t="s">
        <v>12</v>
      </c>
      <c r="J199" s="9" t="s">
        <v>214</v>
      </c>
      <c r="K199" s="9" t="s">
        <v>12</v>
      </c>
      <c r="L199" s="14" t="s">
        <v>12</v>
      </c>
      <c r="M199" s="9" t="s">
        <v>483</v>
      </c>
    </row>
    <row r="200">
      <c r="A200" s="4" t="str">
        <f>hyperlink("http://historiamujeres.es/mujerc.html#Cuetas","Cueto y Enríquez de Arana, Luciana de")</f>
        <v>Cueto y Enríquez de Arana, Luciana de</v>
      </c>
      <c r="B200" s="1" t="s">
        <v>484</v>
      </c>
      <c r="C200" s="1" t="s">
        <v>85</v>
      </c>
      <c r="D200" s="1" t="s">
        <v>12</v>
      </c>
      <c r="E200" s="1" t="s">
        <v>12</v>
      </c>
      <c r="F200" s="2">
        <v>1694.0</v>
      </c>
      <c r="G200" s="1" t="s">
        <v>12</v>
      </c>
      <c r="H200" s="1">
        <v>1775.0</v>
      </c>
      <c r="I200" s="1" t="s">
        <v>12</v>
      </c>
      <c r="J200" s="1" t="s">
        <v>224</v>
      </c>
      <c r="K200" s="1" t="s">
        <v>12</v>
      </c>
      <c r="L200" s="3" t="s">
        <v>12</v>
      </c>
      <c r="M200" s="1" t="s">
        <v>12</v>
      </c>
    </row>
    <row r="201">
      <c r="A201" s="4" t="str">
        <f>hyperlink("http://historiamujeres.es/mujerc.html#Cuetas","Cueto y Enríquez de Arana, María Feliz de")</f>
        <v>Cueto y Enríquez de Arana, María Feliz de</v>
      </c>
      <c r="B201" s="1" t="s">
        <v>484</v>
      </c>
      <c r="C201" s="1" t="s">
        <v>85</v>
      </c>
      <c r="D201" s="1" t="s">
        <v>12</v>
      </c>
      <c r="E201" s="1" t="s">
        <v>12</v>
      </c>
      <c r="F201" s="2">
        <v>1691.0</v>
      </c>
      <c r="G201" s="1" t="s">
        <v>12</v>
      </c>
      <c r="H201" s="1">
        <v>1766.0</v>
      </c>
      <c r="I201" s="1" t="s">
        <v>12</v>
      </c>
      <c r="J201" s="1" t="s">
        <v>224</v>
      </c>
      <c r="K201" s="1" t="s">
        <v>12</v>
      </c>
      <c r="L201" s="3" t="s">
        <v>12</v>
      </c>
      <c r="M201" s="1" t="s">
        <v>12</v>
      </c>
    </row>
    <row r="202">
      <c r="A202" s="7" t="str">
        <f>hyperlink("http://historiamujeres.es/mujerc.html#Curie","Curie, Marie")</f>
        <v>Curie, Marie</v>
      </c>
      <c r="B202" s="8" t="s">
        <v>485</v>
      </c>
      <c r="C202" s="8" t="s">
        <v>486</v>
      </c>
      <c r="D202" s="8" t="s">
        <v>487</v>
      </c>
      <c r="E202" s="8" t="s">
        <v>488</v>
      </c>
      <c r="F202" s="8">
        <v>1867.0</v>
      </c>
      <c r="G202" s="8" t="s">
        <v>12</v>
      </c>
      <c r="H202" s="8">
        <v>1934.0</v>
      </c>
      <c r="I202" s="8">
        <v>1931.0</v>
      </c>
      <c r="J202" s="8" t="s">
        <v>489</v>
      </c>
      <c r="K202" s="8" t="s">
        <v>490</v>
      </c>
      <c r="L202" s="8" t="s">
        <v>12</v>
      </c>
      <c r="M202" s="8" t="s">
        <v>491</v>
      </c>
    </row>
    <row r="203">
      <c r="A203" s="24" t="s">
        <v>492</v>
      </c>
      <c r="B203" s="9" t="s">
        <v>12</v>
      </c>
      <c r="C203" s="9" t="s">
        <v>493</v>
      </c>
      <c r="D203" s="30" t="s">
        <v>493</v>
      </c>
      <c r="E203" s="9" t="s">
        <v>12</v>
      </c>
      <c r="F203" s="9">
        <v>-2900.0</v>
      </c>
      <c r="G203" s="9" t="s">
        <v>12</v>
      </c>
      <c r="H203" s="9">
        <v>2650.0</v>
      </c>
      <c r="I203" s="9" t="s">
        <v>12</v>
      </c>
      <c r="J203" s="9" t="s">
        <v>494</v>
      </c>
      <c r="K203" s="9" t="s">
        <v>495</v>
      </c>
      <c r="L203" s="9" t="s">
        <v>12</v>
      </c>
      <c r="M203" s="9" t="s">
        <v>496</v>
      </c>
    </row>
    <row r="204">
      <c r="A204" s="4" t="str">
        <f>hyperlink("http://historiamujeres.es/mujerd.html#Damiana","Damiana de las Lllagas")</f>
        <v>Damiana de las Lllagas</v>
      </c>
      <c r="B204" s="1" t="s">
        <v>12</v>
      </c>
      <c r="C204" s="1" t="s">
        <v>26</v>
      </c>
      <c r="D204" s="1" t="s">
        <v>497</v>
      </c>
      <c r="E204" s="1" t="s">
        <v>12</v>
      </c>
      <c r="F204" s="2">
        <v>1585.0</v>
      </c>
      <c r="G204" s="1" t="s">
        <v>12</v>
      </c>
      <c r="H204" s="1">
        <v>1670.0</v>
      </c>
      <c r="I204" s="1" t="s">
        <v>12</v>
      </c>
      <c r="J204" s="1" t="s">
        <v>498</v>
      </c>
      <c r="K204" s="1" t="s">
        <v>12</v>
      </c>
      <c r="L204" s="3" t="s">
        <v>12</v>
      </c>
      <c r="M204" s="9" t="s">
        <v>499</v>
      </c>
    </row>
    <row r="205">
      <c r="A205" s="4" t="str">
        <f>hyperlink("http://historiamujeres.es/mujerd.html#Davalos","Dávalos, Leonor")</f>
        <v>Dávalos, Leonor</v>
      </c>
      <c r="B205" s="1" t="s">
        <v>12</v>
      </c>
      <c r="C205" s="1" t="s">
        <v>12</v>
      </c>
      <c r="D205" s="1" t="s">
        <v>27</v>
      </c>
      <c r="E205" s="1" t="s">
        <v>12</v>
      </c>
      <c r="F205" s="5">
        <v>1350.0</v>
      </c>
      <c r="G205" s="6" t="s">
        <v>17</v>
      </c>
      <c r="H205" s="1">
        <v>1367.0</v>
      </c>
      <c r="I205" s="1" t="s">
        <v>12</v>
      </c>
      <c r="J205" s="38" t="s">
        <v>500</v>
      </c>
      <c r="K205" s="1" t="s">
        <v>12</v>
      </c>
      <c r="L205" s="3" t="s">
        <v>12</v>
      </c>
      <c r="M205" s="1" t="s">
        <v>501</v>
      </c>
    </row>
    <row r="206">
      <c r="A206" s="11" t="str">
        <f>hyperlink("http://historiamujeres.es/mujerd.html#degolladora","degolladora de Lijar, La")</f>
        <v>degolladora de Lijar, La</v>
      </c>
      <c r="B206" s="9" t="s">
        <v>12</v>
      </c>
      <c r="C206" s="9" t="s">
        <v>502</v>
      </c>
      <c r="D206" s="9" t="s">
        <v>12</v>
      </c>
      <c r="E206" s="9" t="s">
        <v>12</v>
      </c>
      <c r="F206" s="15">
        <v>1808.0</v>
      </c>
      <c r="G206" s="9" t="s">
        <v>12</v>
      </c>
      <c r="H206" s="9" t="s">
        <v>12</v>
      </c>
      <c r="I206" s="9" t="s">
        <v>12</v>
      </c>
      <c r="J206" s="9" t="s">
        <v>503</v>
      </c>
      <c r="K206" s="9" t="s">
        <v>12</v>
      </c>
      <c r="L206" s="14" t="s">
        <v>12</v>
      </c>
      <c r="M206" s="9" t="s">
        <v>12</v>
      </c>
    </row>
    <row r="207">
      <c r="A207" s="4" t="str">
        <f>hyperlink("http://historiamujeres.es/mujerd.html#Delauneaux","Delauneaux, Francisca")</f>
        <v>Delauneaux, Francisca</v>
      </c>
      <c r="B207" s="1" t="s">
        <v>504</v>
      </c>
      <c r="C207" s="1" t="s">
        <v>505</v>
      </c>
      <c r="D207" s="1" t="s">
        <v>12</v>
      </c>
      <c r="E207" s="1" t="s">
        <v>506</v>
      </c>
      <c r="F207" s="5">
        <v>1790.0</v>
      </c>
      <c r="G207" s="6" t="s">
        <v>43</v>
      </c>
      <c r="H207" s="6">
        <v>1850.0</v>
      </c>
      <c r="I207" s="1">
        <v>1828.0</v>
      </c>
      <c r="J207" s="1" t="s">
        <v>507</v>
      </c>
      <c r="K207" s="1" t="s">
        <v>508</v>
      </c>
      <c r="L207" s="3" t="s">
        <v>12</v>
      </c>
      <c r="M207" s="1" t="s">
        <v>509</v>
      </c>
    </row>
    <row r="208">
      <c r="A208" s="4" t="str">
        <f>hyperlink("http://historiamujeres.es/mujerd.html#DELGADO","Delgado Briones, Anita")</f>
        <v>Delgado Briones, Anita</v>
      </c>
      <c r="B208" s="1" t="s">
        <v>510</v>
      </c>
      <c r="C208" s="1" t="s">
        <v>511</v>
      </c>
      <c r="D208" s="1" t="s">
        <v>512</v>
      </c>
      <c r="E208" s="1" t="s">
        <v>513</v>
      </c>
      <c r="F208" s="2">
        <v>1890.0</v>
      </c>
      <c r="G208" s="1" t="s">
        <v>12</v>
      </c>
      <c r="H208" s="1">
        <v>1962.0</v>
      </c>
      <c r="I208" s="1" t="s">
        <v>12</v>
      </c>
      <c r="J208" s="1" t="s">
        <v>514</v>
      </c>
      <c r="K208" s="1" t="s">
        <v>51</v>
      </c>
      <c r="L208" s="3" t="s">
        <v>12</v>
      </c>
      <c r="M208" s="1" t="s">
        <v>12</v>
      </c>
    </row>
    <row r="209">
      <c r="A209" s="4" t="str">
        <f>hyperlink("http://historiamujeres.es/mujerd.html#DELGADOhi","Delgado Hinojosa, Ana")</f>
        <v>Delgado Hinojosa, Ana</v>
      </c>
      <c r="B209" s="1" t="s">
        <v>12</v>
      </c>
      <c r="C209" s="1" t="s">
        <v>515</v>
      </c>
      <c r="D209" s="1" t="s">
        <v>12</v>
      </c>
      <c r="E209" s="1" t="s">
        <v>12</v>
      </c>
      <c r="F209" s="5">
        <v>1625.0</v>
      </c>
      <c r="G209" s="6" t="s">
        <v>43</v>
      </c>
      <c r="H209" s="6">
        <v>1675.0</v>
      </c>
      <c r="I209" s="1" t="s">
        <v>12</v>
      </c>
      <c r="J209" s="1" t="s">
        <v>516</v>
      </c>
      <c r="K209" s="1" t="s">
        <v>154</v>
      </c>
      <c r="L209" s="3" t="s">
        <v>12</v>
      </c>
      <c r="M209" s="1" t="s">
        <v>517</v>
      </c>
    </row>
    <row r="210">
      <c r="A210" s="4" t="str">
        <f>hyperlink("http://historiamujeres.es/mujerd.html#Diazcab","Díaz Cabezas, Manuela")</f>
        <v>Díaz Cabezas, Manuela</v>
      </c>
      <c r="B210" s="1" t="s">
        <v>12</v>
      </c>
      <c r="C210" s="1" t="s">
        <v>387</v>
      </c>
      <c r="D210" s="1" t="s">
        <v>12</v>
      </c>
      <c r="E210" s="1" t="s">
        <v>12</v>
      </c>
      <c r="F210" s="2">
        <v>1920.0</v>
      </c>
      <c r="G210" s="1" t="s">
        <v>12</v>
      </c>
      <c r="H210" s="9">
        <v>2006.0</v>
      </c>
      <c r="I210" s="1" t="s">
        <v>12</v>
      </c>
      <c r="J210" s="1" t="s">
        <v>518</v>
      </c>
      <c r="K210" s="1" t="s">
        <v>519</v>
      </c>
      <c r="L210" s="3" t="s">
        <v>520</v>
      </c>
      <c r="M210" s="1" t="s">
        <v>12</v>
      </c>
    </row>
    <row r="211">
      <c r="A211" s="4" t="str">
        <f>hyperlink("http://historiamujeres.es/mujerd.html#Diaz_Cortes","Díaz Cortés, María")</f>
        <v>Díaz Cortés, María</v>
      </c>
      <c r="B211" s="1" t="s">
        <v>521</v>
      </c>
      <c r="C211" s="1" t="s">
        <v>30</v>
      </c>
      <c r="D211" s="1" t="s">
        <v>27</v>
      </c>
      <c r="E211" s="1" t="s">
        <v>12</v>
      </c>
      <c r="F211" s="2">
        <v>1892.0</v>
      </c>
      <c r="G211" s="1" t="s">
        <v>12</v>
      </c>
      <c r="H211" s="1">
        <v>2009.0</v>
      </c>
      <c r="I211" s="1" t="s">
        <v>12</v>
      </c>
      <c r="J211" s="1" t="s">
        <v>522</v>
      </c>
      <c r="K211" s="1" t="s">
        <v>35</v>
      </c>
      <c r="L211" s="3" t="s">
        <v>12</v>
      </c>
      <c r="M211" s="1" t="s">
        <v>12</v>
      </c>
    </row>
    <row r="212">
      <c r="A212" s="4" t="str">
        <f>hyperlink("http://historiamujeres.es/mujerd.html#Diazca","Díaz Gálvez, Carmen")</f>
        <v>Díaz Gálvez, Carmen</v>
      </c>
      <c r="B212" s="1" t="s">
        <v>12</v>
      </c>
      <c r="C212" s="17" t="s">
        <v>27</v>
      </c>
      <c r="D212" s="17" t="s">
        <v>27</v>
      </c>
      <c r="E212" s="17" t="s">
        <v>12</v>
      </c>
      <c r="F212" s="16">
        <v>1888.0</v>
      </c>
      <c r="G212" s="17" t="s">
        <v>12</v>
      </c>
      <c r="H212" s="17">
        <v>1979.0</v>
      </c>
      <c r="I212" s="17" t="s">
        <v>12</v>
      </c>
      <c r="J212" s="17" t="s">
        <v>308</v>
      </c>
      <c r="K212" s="17" t="s">
        <v>12</v>
      </c>
      <c r="L212" s="39" t="s">
        <v>12</v>
      </c>
      <c r="M212" s="17" t="s">
        <v>523</v>
      </c>
    </row>
    <row r="213">
      <c r="A213" s="4" t="str">
        <f>hyperlink("http://historiamujeres.es/mujerd.html#DiAZmaru","Díaz Ruiz, Maruja")</f>
        <v>Díaz Ruiz, Maruja</v>
      </c>
      <c r="B213" s="1" t="s">
        <v>524</v>
      </c>
      <c r="C213" s="1" t="s">
        <v>27</v>
      </c>
      <c r="D213" s="1" t="s">
        <v>12</v>
      </c>
      <c r="E213" s="1" t="s">
        <v>12</v>
      </c>
      <c r="F213" s="2">
        <v>1932.0</v>
      </c>
      <c r="G213" s="1" t="s">
        <v>12</v>
      </c>
      <c r="H213" s="1" t="s">
        <v>12</v>
      </c>
      <c r="I213" s="1" t="s">
        <v>12</v>
      </c>
      <c r="J213" s="1" t="s">
        <v>51</v>
      </c>
      <c r="K213" s="1" t="s">
        <v>214</v>
      </c>
      <c r="L213" s="3" t="s">
        <v>12</v>
      </c>
      <c r="M213" s="1" t="s">
        <v>12</v>
      </c>
    </row>
    <row r="214">
      <c r="A214" s="4" t="str">
        <f>hyperlink("http://historiamujeres.es/mujerd.html#Diaz_Torres","Díaz Torres, Francisca")</f>
        <v>Díaz Torres, Francisca</v>
      </c>
      <c r="B214" s="1" t="s">
        <v>12</v>
      </c>
      <c r="C214" s="1" t="s">
        <v>26</v>
      </c>
      <c r="D214" s="1" t="s">
        <v>12</v>
      </c>
      <c r="E214" s="1" t="s">
        <v>344</v>
      </c>
      <c r="F214" s="2">
        <v>1911.0</v>
      </c>
      <c r="G214" s="1" t="s">
        <v>12</v>
      </c>
      <c r="H214" s="1" t="s">
        <v>12</v>
      </c>
      <c r="I214" s="1" t="s">
        <v>12</v>
      </c>
      <c r="J214" s="1" t="s">
        <v>525</v>
      </c>
      <c r="K214" s="1" t="s">
        <v>526</v>
      </c>
      <c r="L214" s="3" t="s">
        <v>12</v>
      </c>
      <c r="M214" s="1" t="s">
        <v>36</v>
      </c>
    </row>
    <row r="215">
      <c r="A215" s="4" t="str">
        <f>hyperlink("http://historiamujeres.es/mujerd.html#Diaz_Trechuelo","Díaz Trechuelo,  Lourdes")</f>
        <v>Díaz Trechuelo,  Lourdes</v>
      </c>
      <c r="B215" s="1" t="s">
        <v>12</v>
      </c>
      <c r="C215" s="1" t="s">
        <v>527</v>
      </c>
      <c r="D215" s="1" t="s">
        <v>27</v>
      </c>
      <c r="E215" s="1" t="s">
        <v>12</v>
      </c>
      <c r="F215" s="2">
        <v>1921.0</v>
      </c>
      <c r="G215" s="1" t="s">
        <v>12</v>
      </c>
      <c r="H215" s="1">
        <v>2008.0</v>
      </c>
      <c r="I215" s="1" t="s">
        <v>12</v>
      </c>
      <c r="J215" s="1" t="s">
        <v>528</v>
      </c>
      <c r="K215" s="1" t="s">
        <v>12</v>
      </c>
      <c r="L215" s="3" t="s">
        <v>12</v>
      </c>
      <c r="M215" s="1" t="s">
        <v>529</v>
      </c>
    </row>
    <row r="216">
      <c r="A216" s="4" t="str">
        <f>hyperlink("http://historiamujeres.es/mujerd.html#Diazvel","Díaz Velázquez, María Luisa")</f>
        <v>Díaz Velázquez, María Luisa</v>
      </c>
      <c r="B216" s="1" t="s">
        <v>12</v>
      </c>
      <c r="C216" s="1" t="s">
        <v>27</v>
      </c>
      <c r="D216" s="1" t="s">
        <v>12</v>
      </c>
      <c r="E216" s="1" t="s">
        <v>12</v>
      </c>
      <c r="F216" s="2">
        <v>1935.0</v>
      </c>
      <c r="G216" s="1" t="s">
        <v>12</v>
      </c>
      <c r="H216" s="1" t="s">
        <v>12</v>
      </c>
      <c r="I216" s="1" t="s">
        <v>12</v>
      </c>
      <c r="J216" s="1" t="s">
        <v>65</v>
      </c>
      <c r="K216" s="1" t="s">
        <v>12</v>
      </c>
      <c r="L216" s="3" t="s">
        <v>12</v>
      </c>
      <c r="M216" s="1" t="s">
        <v>12</v>
      </c>
    </row>
    <row r="217">
      <c r="A217" s="4" t="str">
        <f>hyperlink("http://historiamujeres.es/mujerd.html#DIAZy","Díaz y Fernández, Antonia")</f>
        <v>Díaz y Fernández, Antonia</v>
      </c>
      <c r="B217" s="1" t="s">
        <v>530</v>
      </c>
      <c r="C217" s="1" t="s">
        <v>497</v>
      </c>
      <c r="D217" s="1" t="s">
        <v>531</v>
      </c>
      <c r="E217" s="1" t="s">
        <v>12</v>
      </c>
      <c r="F217" s="2">
        <v>1827.0</v>
      </c>
      <c r="G217" s="1" t="s">
        <v>12</v>
      </c>
      <c r="H217" s="1">
        <v>1892.0</v>
      </c>
      <c r="I217" s="1" t="s">
        <v>12</v>
      </c>
      <c r="J217" s="1" t="s">
        <v>60</v>
      </c>
      <c r="K217" s="1" t="s">
        <v>12</v>
      </c>
      <c r="L217" s="3" t="s">
        <v>12</v>
      </c>
      <c r="M217" s="1" t="s">
        <v>12</v>
      </c>
    </row>
    <row r="218">
      <c r="A218" s="40" t="str">
        <f>hyperlink("http://historiamujeres.es/mujerd.html#diaz-manuela","Diaz, Manuela")</f>
        <v>Diaz, Manuela</v>
      </c>
      <c r="B218" s="33" t="s">
        <v>12</v>
      </c>
      <c r="C218" s="33" t="s">
        <v>12</v>
      </c>
      <c r="D218" s="33" t="s">
        <v>27</v>
      </c>
      <c r="E218" s="33" t="s">
        <v>12</v>
      </c>
      <c r="F218" s="27">
        <v>1850.0</v>
      </c>
      <c r="G218" s="25" t="s">
        <v>43</v>
      </c>
      <c r="H218" s="25">
        <v>1910.0</v>
      </c>
      <c r="I218" s="33">
        <v>1882.0</v>
      </c>
      <c r="J218" s="33" t="s">
        <v>532</v>
      </c>
      <c r="K218" s="33" t="s">
        <v>12</v>
      </c>
      <c r="L218" s="41" t="s">
        <v>12</v>
      </c>
      <c r="M218" s="33" t="s">
        <v>533</v>
      </c>
    </row>
    <row r="219">
      <c r="A219" s="4" t="str">
        <f>hyperlink("http://historiamujeres.es/mujerd.html#DIAZ","Díaz, María Paz")</f>
        <v>Díaz, María Paz</v>
      </c>
      <c r="B219" s="1" t="s">
        <v>12</v>
      </c>
      <c r="C219" s="1" t="s">
        <v>27</v>
      </c>
      <c r="D219" s="1" t="s">
        <v>12</v>
      </c>
      <c r="E219" s="1" t="s">
        <v>12</v>
      </c>
      <c r="F219" s="2">
        <v>1930.0</v>
      </c>
      <c r="G219" s="1" t="s">
        <v>12</v>
      </c>
      <c r="H219" s="1" t="s">
        <v>12</v>
      </c>
      <c r="I219" s="1" t="s">
        <v>12</v>
      </c>
      <c r="J219" s="1" t="s">
        <v>534</v>
      </c>
      <c r="K219" s="1" t="s">
        <v>12</v>
      </c>
      <c r="L219" s="3" t="s">
        <v>12</v>
      </c>
      <c r="M219" s="1" t="s">
        <v>12</v>
      </c>
    </row>
    <row r="220">
      <c r="A220" s="4" t="str">
        <f>hyperlink("http://historiamujeres.es/mujerd.html#DIAZma","Díaz, Marina")</f>
        <v>Díaz, Marina</v>
      </c>
      <c r="B220" s="1" t="s">
        <v>12</v>
      </c>
      <c r="C220" s="1" t="s">
        <v>27</v>
      </c>
      <c r="D220" s="1" t="s">
        <v>12</v>
      </c>
      <c r="E220" s="1" t="s">
        <v>12</v>
      </c>
      <c r="F220" s="2">
        <v>1935.0</v>
      </c>
      <c r="G220" s="1" t="s">
        <v>12</v>
      </c>
      <c r="H220" s="1" t="s">
        <v>12</v>
      </c>
      <c r="I220" s="1" t="s">
        <v>12</v>
      </c>
      <c r="J220" s="1" t="s">
        <v>65</v>
      </c>
      <c r="K220" s="1" t="s">
        <v>12</v>
      </c>
      <c r="L220" s="3" t="s">
        <v>12</v>
      </c>
      <c r="M220" s="1" t="s">
        <v>12</v>
      </c>
    </row>
    <row r="221">
      <c r="A221" s="4" t="str">
        <f>hyperlink("http://historiamujeres.es/mujerd.html#Diaz_ro","Díaz, Rosa")</f>
        <v>Díaz, Rosa</v>
      </c>
      <c r="B221" s="1" t="s">
        <v>12</v>
      </c>
      <c r="C221" s="1" t="s">
        <v>27</v>
      </c>
      <c r="D221" s="1" t="s">
        <v>12</v>
      </c>
      <c r="E221" s="1" t="s">
        <v>12</v>
      </c>
      <c r="F221" s="2">
        <v>1946.0</v>
      </c>
      <c r="G221" s="1" t="s">
        <v>12</v>
      </c>
      <c r="H221" s="1" t="s">
        <v>12</v>
      </c>
      <c r="I221" s="1" t="s">
        <v>12</v>
      </c>
      <c r="J221" s="1" t="s">
        <v>70</v>
      </c>
      <c r="K221" s="1" t="s">
        <v>12</v>
      </c>
      <c r="L221" s="3" t="s">
        <v>12</v>
      </c>
      <c r="M221" s="1" t="s">
        <v>12</v>
      </c>
    </row>
    <row r="222">
      <c r="A222" s="4" t="str">
        <f>hyperlink("http://historiamujeres.es/mujerd.html#DIGNA","Digna")</f>
        <v>Digna</v>
      </c>
      <c r="B222" s="1" t="s">
        <v>12</v>
      </c>
      <c r="C222" s="1" t="s">
        <v>12</v>
      </c>
      <c r="D222" s="1" t="s">
        <v>24</v>
      </c>
      <c r="E222" s="1" t="s">
        <v>12</v>
      </c>
      <c r="F222" s="2" t="s">
        <v>12</v>
      </c>
      <c r="G222" s="1" t="s">
        <v>12</v>
      </c>
      <c r="H222" s="1">
        <v>853.0</v>
      </c>
      <c r="I222" s="1" t="s">
        <v>12</v>
      </c>
      <c r="J222" s="1" t="s">
        <v>243</v>
      </c>
      <c r="K222" s="1" t="s">
        <v>12</v>
      </c>
      <c r="L222" s="3" t="s">
        <v>12</v>
      </c>
      <c r="M222" s="1" t="s">
        <v>12</v>
      </c>
    </row>
    <row r="223">
      <c r="A223" s="4" t="str">
        <f>hyperlink("http://historiamujeres.es/mujerd.html#Domicia","Domicia Paulina")</f>
        <v>Domicia Paulina</v>
      </c>
      <c r="B223" s="1" t="s">
        <v>12</v>
      </c>
      <c r="C223" s="1" t="s">
        <v>16</v>
      </c>
      <c r="D223" s="1" t="s">
        <v>535</v>
      </c>
      <c r="E223" s="1" t="s">
        <v>12</v>
      </c>
      <c r="F223" s="2">
        <v>70.0</v>
      </c>
      <c r="G223" s="1" t="s">
        <v>12</v>
      </c>
      <c r="H223" s="1">
        <v>130.0</v>
      </c>
      <c r="I223" s="1" t="s">
        <v>12</v>
      </c>
      <c r="J223" s="1" t="s">
        <v>536</v>
      </c>
      <c r="K223" s="1" t="s">
        <v>214</v>
      </c>
      <c r="L223" s="3" t="s">
        <v>12</v>
      </c>
      <c r="M223" s="1" t="s">
        <v>537</v>
      </c>
    </row>
    <row r="224">
      <c r="A224" s="4" t="str">
        <f>hyperlink("http://historiamujeres.es/mujerd.html#Dominga","Dominga")</f>
        <v>Dominga</v>
      </c>
      <c r="B224" s="1" t="s">
        <v>12</v>
      </c>
      <c r="C224" s="1" t="s">
        <v>538</v>
      </c>
      <c r="D224" s="1" t="s">
        <v>12</v>
      </c>
      <c r="E224" s="1" t="s">
        <v>12</v>
      </c>
      <c r="F224" s="16" t="s">
        <v>12</v>
      </c>
      <c r="G224" s="17" t="s">
        <v>12</v>
      </c>
      <c r="H224" s="17" t="s">
        <v>12</v>
      </c>
      <c r="I224" s="1">
        <v>1602.0</v>
      </c>
      <c r="J224" s="1" t="s">
        <v>443</v>
      </c>
      <c r="K224" s="1" t="s">
        <v>350</v>
      </c>
      <c r="L224" s="3" t="s">
        <v>12</v>
      </c>
      <c r="M224" s="1" t="s">
        <v>12</v>
      </c>
    </row>
    <row r="225">
      <c r="A225" s="4" t="str">
        <f>hyperlink("http://historiamujeres.es/mujerd.html#Domingo","Domingo Carmona, Adela")</f>
        <v>Domingo Carmona, Adela</v>
      </c>
      <c r="B225" s="1" t="s">
        <v>12</v>
      </c>
      <c r="C225" s="1" t="s">
        <v>27</v>
      </c>
      <c r="D225" s="1" t="s">
        <v>12</v>
      </c>
      <c r="E225" s="1" t="s">
        <v>12</v>
      </c>
      <c r="F225" s="5">
        <v>1930.0</v>
      </c>
      <c r="G225" s="6" t="s">
        <v>17</v>
      </c>
      <c r="H225" s="1" t="s">
        <v>12</v>
      </c>
      <c r="I225" s="1">
        <v>2009.0</v>
      </c>
      <c r="J225" s="1" t="s">
        <v>539</v>
      </c>
      <c r="K225" s="1" t="s">
        <v>540</v>
      </c>
      <c r="L225" s="3" t="s">
        <v>12</v>
      </c>
      <c r="M225" s="1" t="s">
        <v>541</v>
      </c>
    </row>
    <row r="226">
      <c r="A226" s="4" t="str">
        <f>hyperlink("http://historiamujeres.es/mujerd.html#Domingoso","Domingo Soler, Amalia")</f>
        <v>Domingo Soler, Amalia</v>
      </c>
      <c r="B226" s="1" t="s">
        <v>12</v>
      </c>
      <c r="C226" s="1" t="s">
        <v>27</v>
      </c>
      <c r="D226" s="1" t="s">
        <v>542</v>
      </c>
      <c r="E226" s="1" t="s">
        <v>12</v>
      </c>
      <c r="F226" s="2">
        <v>1835.0</v>
      </c>
      <c r="G226" s="1" t="s">
        <v>12</v>
      </c>
      <c r="H226" s="1">
        <v>1909.0</v>
      </c>
      <c r="I226" s="1" t="s">
        <v>12</v>
      </c>
      <c r="J226" s="1" t="s">
        <v>543</v>
      </c>
      <c r="K226" s="1" t="s">
        <v>113</v>
      </c>
      <c r="L226" s="3" t="s">
        <v>80</v>
      </c>
      <c r="M226" s="1" t="s">
        <v>544</v>
      </c>
    </row>
    <row r="227">
      <c r="A227" s="4" t="str">
        <f>hyperlink("http://historiamujeres.es/mujerd.html#Dominguez_de","Domínguez de la Rosa, Amalia")</f>
        <v>Domínguez de la Rosa, Amalia</v>
      </c>
      <c r="B227" s="1" t="s">
        <v>12</v>
      </c>
      <c r="C227" s="1" t="s">
        <v>545</v>
      </c>
      <c r="D227" s="1" t="s">
        <v>68</v>
      </c>
      <c r="E227" s="1" t="s">
        <v>12</v>
      </c>
      <c r="F227" s="16">
        <v>1907.0</v>
      </c>
      <c r="G227" s="17" t="s">
        <v>12</v>
      </c>
      <c r="H227" s="17">
        <v>1955.0</v>
      </c>
      <c r="I227" s="1" t="s">
        <v>12</v>
      </c>
      <c r="J227" s="1" t="s">
        <v>546</v>
      </c>
      <c r="K227" s="1" t="s">
        <v>547</v>
      </c>
      <c r="L227" s="3" t="s">
        <v>12</v>
      </c>
      <c r="M227" s="1" t="s">
        <v>12</v>
      </c>
    </row>
    <row r="228">
      <c r="A228" s="4" t="str">
        <f>hyperlink("http://www.historiamujeres.es/mujera.html#Aizpuru","Domínguez Manso, Juana")</f>
        <v>Domínguez Manso, Juana</v>
      </c>
      <c r="B228" s="1" t="s">
        <v>548</v>
      </c>
      <c r="C228" s="1" t="s">
        <v>549</v>
      </c>
      <c r="D228" s="1" t="s">
        <v>12</v>
      </c>
      <c r="E228" s="1" t="s">
        <v>27</v>
      </c>
      <c r="F228" s="2">
        <v>1933.0</v>
      </c>
      <c r="G228" s="1" t="s">
        <v>12</v>
      </c>
      <c r="H228" s="1" t="s">
        <v>12</v>
      </c>
      <c r="I228" s="1" t="s">
        <v>12</v>
      </c>
      <c r="J228" s="1" t="s">
        <v>550</v>
      </c>
      <c r="K228" s="1" t="s">
        <v>12</v>
      </c>
      <c r="L228" s="3" t="s">
        <v>12</v>
      </c>
      <c r="M228" s="1" t="s">
        <v>551</v>
      </c>
    </row>
    <row r="229">
      <c r="A229" s="4" t="str">
        <f>hyperlink("http://historiamujeres.es/mujerd.html#DominguezMa","Domínguez Martínez, María")</f>
        <v>Domínguez Martínez, María</v>
      </c>
      <c r="B229" s="1" t="s">
        <v>12</v>
      </c>
      <c r="C229" s="1" t="s">
        <v>552</v>
      </c>
      <c r="D229" s="1" t="s">
        <v>129</v>
      </c>
      <c r="E229" s="1" t="s">
        <v>12</v>
      </c>
      <c r="F229" s="2">
        <v>1926.0</v>
      </c>
      <c r="G229" s="1" t="s">
        <v>12</v>
      </c>
      <c r="H229" s="1">
        <v>1949.0</v>
      </c>
      <c r="I229" s="1" t="s">
        <v>12</v>
      </c>
      <c r="J229" s="1" t="s">
        <v>553</v>
      </c>
      <c r="K229" s="1" t="s">
        <v>554</v>
      </c>
      <c r="L229" s="3" t="s">
        <v>12</v>
      </c>
      <c r="M229" s="1" t="s">
        <v>555</v>
      </c>
    </row>
    <row r="230">
      <c r="A230" s="4" t="str">
        <f>hyperlink("http://historiamujeres.es/mujerd.html#Dominguez","Domínguez Muñoz, Francisca")</f>
        <v>Domínguez Muñoz, Francisca</v>
      </c>
      <c r="B230" s="1" t="s">
        <v>12</v>
      </c>
      <c r="C230" s="1" t="s">
        <v>120</v>
      </c>
      <c r="D230" s="1" t="s">
        <v>12</v>
      </c>
      <c r="E230" s="1" t="s">
        <v>12</v>
      </c>
      <c r="F230" s="2">
        <v>1962.0</v>
      </c>
      <c r="G230" s="1" t="s">
        <v>12</v>
      </c>
      <c r="H230" s="1" t="s">
        <v>12</v>
      </c>
      <c r="I230" s="1" t="s">
        <v>12</v>
      </c>
      <c r="J230" s="1" t="s">
        <v>556</v>
      </c>
      <c r="K230" s="1" t="s">
        <v>12</v>
      </c>
      <c r="L230" s="3" t="s">
        <v>12</v>
      </c>
      <c r="M230" s="1" t="s">
        <v>12</v>
      </c>
    </row>
    <row r="231">
      <c r="A231" s="11" t="str">
        <f>hyperlink("http://historiamujeres.es/mujerd.html#Dominguez_Pa","Domínguez Palatín, Dolores")</f>
        <v>Domínguez Palatín, Dolores</v>
      </c>
      <c r="B231" s="1" t="s">
        <v>12</v>
      </c>
      <c r="C231" s="9" t="s">
        <v>27</v>
      </c>
      <c r="D231" s="9" t="s">
        <v>68</v>
      </c>
      <c r="E231" s="1" t="s">
        <v>12</v>
      </c>
      <c r="F231" s="37">
        <v>1889.0</v>
      </c>
      <c r="G231" s="8" t="s">
        <v>12</v>
      </c>
      <c r="H231" s="9">
        <v>1971.0</v>
      </c>
      <c r="I231" s="1" t="s">
        <v>12</v>
      </c>
      <c r="J231" s="9" t="s">
        <v>557</v>
      </c>
      <c r="K231" s="1" t="s">
        <v>12</v>
      </c>
      <c r="L231" s="3" t="s">
        <v>12</v>
      </c>
    </row>
    <row r="232">
      <c r="A232" s="34" t="str">
        <f>hyperlink("http://historiamujeres.es/mujerd.html#Dauset","Doucet Moreno, Carmen")</f>
        <v>Doucet Moreno, Carmen</v>
      </c>
      <c r="B232" s="9" t="s">
        <v>558</v>
      </c>
      <c r="C232" s="30" t="s">
        <v>26</v>
      </c>
      <c r="D232" s="8" t="s">
        <v>559</v>
      </c>
      <c r="E232" s="1"/>
      <c r="F232" s="42">
        <v>1868.0</v>
      </c>
      <c r="G232" s="13" t="s">
        <v>92</v>
      </c>
      <c r="H232" s="43">
        <v>1910.0</v>
      </c>
      <c r="I232" s="9" t="s">
        <v>12</v>
      </c>
      <c r="J232" s="9" t="s">
        <v>560</v>
      </c>
      <c r="K232" s="9" t="s">
        <v>561</v>
      </c>
      <c r="L232" s="14" t="s">
        <v>562</v>
      </c>
      <c r="M232" s="9" t="s">
        <v>563</v>
      </c>
    </row>
    <row r="233">
      <c r="A233" s="4" t="str">
        <f>hyperlink("http://historiamujeres.es/mujerd.html#Dougoud","Dougoud Spoerri, Lydia")</f>
        <v>Dougoud Spoerri, Lydia</v>
      </c>
      <c r="B233" s="1" t="s">
        <v>12</v>
      </c>
      <c r="C233" s="1" t="s">
        <v>27</v>
      </c>
      <c r="D233" s="1" t="s">
        <v>12</v>
      </c>
      <c r="E233" s="1" t="s">
        <v>12</v>
      </c>
      <c r="F233" s="2">
        <v>1930.0</v>
      </c>
      <c r="G233" s="1" t="s">
        <v>12</v>
      </c>
      <c r="H233" s="1" t="s">
        <v>12</v>
      </c>
      <c r="I233" s="1" t="s">
        <v>12</v>
      </c>
      <c r="J233" s="1" t="s">
        <v>564</v>
      </c>
      <c r="K233" s="1" t="s">
        <v>12</v>
      </c>
      <c r="L233" s="3" t="s">
        <v>12</v>
      </c>
      <c r="M233" s="1" t="s">
        <v>12</v>
      </c>
    </row>
    <row r="234">
      <c r="A234" s="40" t="str">
        <f>hyperlink("http://historiamujeres.es/mujerd.html#Duran_vicenta","Durán, Vicenta")</f>
        <v>Durán, Vicenta</v>
      </c>
      <c r="B234" s="33" t="s">
        <v>12</v>
      </c>
      <c r="C234" s="33" t="s">
        <v>12</v>
      </c>
      <c r="D234" s="33" t="s">
        <v>27</v>
      </c>
      <c r="E234" s="33" t="s">
        <v>12</v>
      </c>
      <c r="F234" s="27">
        <v>1850.0</v>
      </c>
      <c r="G234" s="25" t="s">
        <v>43</v>
      </c>
      <c r="H234" s="25">
        <v>1910.0</v>
      </c>
      <c r="I234" s="33">
        <v>1882.0</v>
      </c>
      <c r="J234" s="33" t="s">
        <v>532</v>
      </c>
      <c r="K234" s="33" t="s">
        <v>565</v>
      </c>
      <c r="L234" s="41" t="s">
        <v>12</v>
      </c>
      <c r="M234" s="33" t="s">
        <v>533</v>
      </c>
    </row>
    <row r="235">
      <c r="A235" s="24" t="s">
        <v>566</v>
      </c>
      <c r="B235" s="8" t="s">
        <v>567</v>
      </c>
      <c r="C235" s="8" t="s">
        <v>205</v>
      </c>
      <c r="D235" s="8" t="s">
        <v>12</v>
      </c>
      <c r="E235" s="8" t="s">
        <v>12</v>
      </c>
      <c r="F235" s="8">
        <v>1944.0</v>
      </c>
      <c r="G235" s="8" t="s">
        <v>12</v>
      </c>
      <c r="H235" s="8" t="s">
        <v>12</v>
      </c>
      <c r="I235" s="8" t="s">
        <v>12</v>
      </c>
      <c r="J235" s="8" t="s">
        <v>568</v>
      </c>
      <c r="K235" s="8" t="s">
        <v>12</v>
      </c>
      <c r="L235" s="8" t="s">
        <v>12</v>
      </c>
      <c r="M235" s="8" t="s">
        <v>569</v>
      </c>
    </row>
    <row r="236">
      <c r="A236" s="4" t="str">
        <f>hyperlink("http://historiamujeres.es/mujere.html#Eguaras","Eguaras Ibáñez, Joaquina")</f>
        <v>Eguaras Ibáñez, Joaquina</v>
      </c>
      <c r="B236" s="1" t="s">
        <v>12</v>
      </c>
      <c r="C236" s="1" t="s">
        <v>570</v>
      </c>
      <c r="D236" s="1" t="s">
        <v>30</v>
      </c>
      <c r="E236" s="1" t="s">
        <v>12</v>
      </c>
      <c r="F236" s="2">
        <v>1897.0</v>
      </c>
      <c r="G236" s="1" t="s">
        <v>12</v>
      </c>
      <c r="H236" s="1">
        <v>1981.0</v>
      </c>
      <c r="I236" s="1" t="s">
        <v>12</v>
      </c>
      <c r="J236" s="1" t="s">
        <v>571</v>
      </c>
      <c r="K236" s="1" t="s">
        <v>572</v>
      </c>
      <c r="L236" s="3" t="s">
        <v>573</v>
      </c>
      <c r="M236" s="1" t="s">
        <v>574</v>
      </c>
    </row>
    <row r="237">
      <c r="A237" s="4" t="str">
        <f>hyperlink("http://historiamujeres.es/mujere.html#El_Tija_","El Tija Al Farouqui, Salma")</f>
        <v>El Tija Al Farouqui, Salma</v>
      </c>
      <c r="B237" s="1" t="s">
        <v>12</v>
      </c>
      <c r="C237" s="1" t="s">
        <v>575</v>
      </c>
      <c r="D237" s="1" t="s">
        <v>12</v>
      </c>
      <c r="E237" s="1" t="s">
        <v>24</v>
      </c>
      <c r="F237" s="5">
        <v>1940.0</v>
      </c>
      <c r="G237" s="6" t="s">
        <v>17</v>
      </c>
      <c r="H237" s="1" t="s">
        <v>12</v>
      </c>
      <c r="I237" s="1" t="s">
        <v>12</v>
      </c>
      <c r="J237" s="1" t="s">
        <v>576</v>
      </c>
      <c r="K237" s="1" t="s">
        <v>12</v>
      </c>
      <c r="L237" s="3" t="s">
        <v>12</v>
      </c>
      <c r="M237" s="1" t="s">
        <v>12</v>
      </c>
    </row>
    <row r="238">
      <c r="A238" s="4" t="str">
        <f>hyperlink("http://historiamujeres.es/mujere.html#ELENA","Elena Caro, Esperanza")</f>
        <v>Elena Caro, Esperanza</v>
      </c>
      <c r="B238" s="1" t="s">
        <v>12</v>
      </c>
      <c r="C238" s="1" t="s">
        <v>577</v>
      </c>
      <c r="D238" s="1" t="s">
        <v>27</v>
      </c>
      <c r="E238" s="1" t="s">
        <v>12</v>
      </c>
      <c r="F238" s="2">
        <v>1904.0</v>
      </c>
      <c r="G238" s="1" t="s">
        <v>12</v>
      </c>
      <c r="H238" s="1">
        <v>1985.0</v>
      </c>
      <c r="I238" s="1" t="s">
        <v>12</v>
      </c>
      <c r="J238" s="1" t="s">
        <v>578</v>
      </c>
      <c r="K238" s="1" t="s">
        <v>12</v>
      </c>
      <c r="L238" s="3" t="s">
        <v>12</v>
      </c>
      <c r="M238" s="1" t="s">
        <v>12</v>
      </c>
    </row>
    <row r="239">
      <c r="A239" s="4" t="str">
        <f>hyperlink("http://historiamujeres.es/mujerl.html#LOLAmo","Eliza Gilbert, Maria Dolores")</f>
        <v>Eliza Gilbert, Maria Dolores</v>
      </c>
      <c r="B239" s="1" t="s">
        <v>579</v>
      </c>
      <c r="C239" s="1" t="s">
        <v>580</v>
      </c>
      <c r="D239" s="1" t="s">
        <v>581</v>
      </c>
      <c r="E239" s="1" t="s">
        <v>582</v>
      </c>
      <c r="F239" s="2">
        <v>1818.0</v>
      </c>
      <c r="G239" s="1" t="s">
        <v>12</v>
      </c>
      <c r="H239" s="1">
        <v>1861.0</v>
      </c>
      <c r="I239" s="1" t="s">
        <v>12</v>
      </c>
      <c r="J239" s="1" t="s">
        <v>583</v>
      </c>
      <c r="K239" s="1" t="s">
        <v>12</v>
      </c>
      <c r="L239" s="3" t="s">
        <v>12</v>
      </c>
      <c r="M239" s="1" t="s">
        <v>584</v>
      </c>
    </row>
    <row r="240">
      <c r="A240" s="4" t="str">
        <f>hyperlink("http://historiamujeres.es//mujere.html#Embarriladoras","Embarriladoras de Uva de Huercal de Almería")</f>
        <v>Embarriladoras de Uva de Huercal de Almería</v>
      </c>
      <c r="B240" s="9" t="s">
        <v>585</v>
      </c>
      <c r="C240" s="9" t="s">
        <v>586</v>
      </c>
      <c r="D240" s="1"/>
      <c r="E240" s="9" t="s">
        <v>587</v>
      </c>
      <c r="F240" s="15">
        <v>1911.0</v>
      </c>
      <c r="G240" s="9" t="s">
        <v>12</v>
      </c>
      <c r="H240" s="9" t="s">
        <v>12</v>
      </c>
      <c r="I240" s="9" t="s">
        <v>12</v>
      </c>
      <c r="J240" s="9" t="s">
        <v>423</v>
      </c>
      <c r="K240" s="9" t="s">
        <v>588</v>
      </c>
      <c r="L240" s="14" t="s">
        <v>12</v>
      </c>
      <c r="M240" s="9" t="s">
        <v>12</v>
      </c>
    </row>
    <row r="241">
      <c r="A241" s="4" t="str">
        <f>hyperlink("http://www.historiamujeres.es/mujera.html#Abrucena","Emilia")</f>
        <v>Emilia</v>
      </c>
      <c r="B241" s="1" t="s">
        <v>12</v>
      </c>
      <c r="C241" s="1" t="s">
        <v>13</v>
      </c>
      <c r="D241" s="1" t="s">
        <v>589</v>
      </c>
      <c r="E241" s="1" t="s">
        <v>12</v>
      </c>
      <c r="F241" s="2">
        <v>1889.0</v>
      </c>
      <c r="G241" s="1" t="s">
        <v>12</v>
      </c>
      <c r="H241" s="1">
        <v>1979.0</v>
      </c>
      <c r="I241" s="1" t="s">
        <v>12</v>
      </c>
      <c r="J241" s="1" t="s">
        <v>590</v>
      </c>
      <c r="K241" s="1" t="s">
        <v>591</v>
      </c>
      <c r="L241" s="3" t="s">
        <v>592</v>
      </c>
      <c r="M241" s="1" t="s">
        <v>196</v>
      </c>
    </row>
    <row r="242">
      <c r="A242" s="4" t="str">
        <f>hyperlink("http://historiamujeres.es/mujere.html#Encarnacion_co","Encarnación, Cofradía de la")</f>
        <v>Encarnación, Cofradía de la</v>
      </c>
      <c r="B242" s="1" t="s">
        <v>12</v>
      </c>
      <c r="C242" s="1" t="s">
        <v>30</v>
      </c>
      <c r="D242" s="1" t="s">
        <v>12</v>
      </c>
      <c r="E242" s="1" t="s">
        <v>12</v>
      </c>
      <c r="F242" s="5">
        <v>1550.0</v>
      </c>
      <c r="G242" s="6" t="s">
        <v>17</v>
      </c>
      <c r="H242" s="1" t="s">
        <v>12</v>
      </c>
      <c r="I242" s="1" t="s">
        <v>12</v>
      </c>
      <c r="J242" s="1" t="s">
        <v>593</v>
      </c>
      <c r="K242" s="1" t="s">
        <v>15</v>
      </c>
      <c r="L242" s="3" t="s">
        <v>12</v>
      </c>
      <c r="M242" s="1" t="s">
        <v>594</v>
      </c>
    </row>
    <row r="243">
      <c r="A243" s="4" t="str">
        <f>hyperlink("http://historiamujeres.es/mujere.html#Enciso_orellana","Enciso Orellana, Julia")</f>
        <v>Enciso Orellana, Julia</v>
      </c>
      <c r="B243" s="1" t="s">
        <v>12</v>
      </c>
      <c r="C243" s="1" t="s">
        <v>595</v>
      </c>
      <c r="D243" s="1" t="s">
        <v>596</v>
      </c>
      <c r="E243" s="1" t="s">
        <v>12</v>
      </c>
      <c r="F243" s="2">
        <v>1935.0</v>
      </c>
      <c r="G243" s="1" t="s">
        <v>12</v>
      </c>
      <c r="H243" s="1" t="s">
        <v>12</v>
      </c>
      <c r="I243" s="1" t="s">
        <v>12</v>
      </c>
      <c r="J243" s="1" t="s">
        <v>597</v>
      </c>
      <c r="K243" s="1" t="s">
        <v>73</v>
      </c>
      <c r="L243" s="3" t="s">
        <v>12</v>
      </c>
      <c r="M243" s="1" t="s">
        <v>12</v>
      </c>
    </row>
    <row r="244">
      <c r="A244" s="24" t="s">
        <v>598</v>
      </c>
      <c r="B244" s="9" t="s">
        <v>12</v>
      </c>
      <c r="C244" s="9" t="s">
        <v>26</v>
      </c>
      <c r="D244" s="9" t="s">
        <v>12</v>
      </c>
      <c r="E244" s="9" t="s">
        <v>12</v>
      </c>
      <c r="F244" s="9">
        <v>1971.0</v>
      </c>
      <c r="G244" s="9" t="s">
        <v>12</v>
      </c>
      <c r="H244" s="9" t="s">
        <v>12</v>
      </c>
      <c r="I244" s="9" t="s">
        <v>12</v>
      </c>
      <c r="J244" s="9" t="s">
        <v>599</v>
      </c>
      <c r="K244" s="9" t="s">
        <v>12</v>
      </c>
      <c r="L244" s="9" t="s">
        <v>12</v>
      </c>
      <c r="M244" s="9" t="s">
        <v>600</v>
      </c>
    </row>
    <row r="245">
      <c r="A245" s="4" t="str">
        <f>hyperlink("http://historiamujeres.es/mujere.html#Engracia","Engracia Urbano Moreno, Sor")</f>
        <v>Engracia Urbano Moreno, Sor</v>
      </c>
      <c r="B245" s="1" t="s">
        <v>12</v>
      </c>
      <c r="C245" s="1" t="s">
        <v>601</v>
      </c>
      <c r="D245" s="1" t="s">
        <v>12</v>
      </c>
      <c r="E245" s="1" t="s">
        <v>205</v>
      </c>
      <c r="F245" s="2">
        <v>1918.0</v>
      </c>
      <c r="G245" s="1" t="s">
        <v>12</v>
      </c>
      <c r="H245" s="1" t="s">
        <v>12</v>
      </c>
      <c r="I245" s="1" t="s">
        <v>12</v>
      </c>
      <c r="J245" s="1" t="s">
        <v>602</v>
      </c>
      <c r="K245" s="1" t="s">
        <v>154</v>
      </c>
      <c r="L245" s="3" t="s">
        <v>12</v>
      </c>
      <c r="M245" s="1" t="s">
        <v>541</v>
      </c>
    </row>
    <row r="246">
      <c r="A246" s="4" t="str">
        <f>hyperlink("http://historiamujeres.es/mujere.html#ENRiQUEZdear","Enríquez de Arana, Beatriz")</f>
        <v>Enríquez de Arana, Beatriz</v>
      </c>
      <c r="B246" s="1" t="s">
        <v>12</v>
      </c>
      <c r="C246" s="1" t="s">
        <v>603</v>
      </c>
      <c r="D246" s="1" t="s">
        <v>604</v>
      </c>
      <c r="E246" s="1" t="s">
        <v>12</v>
      </c>
      <c r="F246" s="2">
        <v>1467.0</v>
      </c>
      <c r="G246" s="1" t="s">
        <v>12</v>
      </c>
      <c r="H246" s="1">
        <v>1521.0</v>
      </c>
      <c r="I246" s="1" t="s">
        <v>12</v>
      </c>
      <c r="J246" s="1" t="s">
        <v>35</v>
      </c>
      <c r="K246" s="1" t="s">
        <v>12</v>
      </c>
      <c r="L246" s="3" t="s">
        <v>12</v>
      </c>
      <c r="M246" s="1" t="s">
        <v>605</v>
      </c>
    </row>
    <row r="247">
      <c r="A247" s="4" t="str">
        <f>hyperlink("http://historiamujeres.es/mujere.html#ENRiQUEZ_DE_GUZMaN","Enríquez de Guzmán, Feliciana")</f>
        <v>Enríquez de Guzmán, Feliciana</v>
      </c>
      <c r="B247" s="1" t="s">
        <v>12</v>
      </c>
      <c r="C247" s="1" t="s">
        <v>27</v>
      </c>
      <c r="D247" s="1" t="s">
        <v>12</v>
      </c>
      <c r="E247" s="1" t="s">
        <v>12</v>
      </c>
      <c r="F247" s="5">
        <v>1585.0</v>
      </c>
      <c r="G247" s="6" t="s">
        <v>43</v>
      </c>
      <c r="H247" s="6">
        <v>1640.0</v>
      </c>
      <c r="I247" s="1">
        <v>1630.0</v>
      </c>
      <c r="J247" s="1" t="s">
        <v>606</v>
      </c>
      <c r="K247" s="1" t="s">
        <v>350</v>
      </c>
      <c r="L247" s="3" t="s">
        <v>12</v>
      </c>
      <c r="M247" s="1" t="s">
        <v>607</v>
      </c>
    </row>
    <row r="248">
      <c r="A248" s="4" t="str">
        <f>hyperlink("http://historiamujeres.es/mujere.html#ENRiQUEZ","Enríquez, Maria")</f>
        <v>Enríquez, Maria</v>
      </c>
      <c r="B248" s="1" t="s">
        <v>12</v>
      </c>
      <c r="C248" s="1" t="s">
        <v>27</v>
      </c>
      <c r="D248" s="1" t="s">
        <v>27</v>
      </c>
      <c r="E248" s="1" t="s">
        <v>12</v>
      </c>
      <c r="F248" s="2">
        <v>1725.0</v>
      </c>
      <c r="G248" s="1" t="s">
        <v>12</v>
      </c>
      <c r="H248" s="1">
        <v>1775.0</v>
      </c>
      <c r="I248" s="1" t="s">
        <v>12</v>
      </c>
      <c r="J248" s="1" t="s">
        <v>216</v>
      </c>
      <c r="K248" s="1" t="s">
        <v>12</v>
      </c>
      <c r="L248" s="3" t="s">
        <v>12</v>
      </c>
      <c r="M248" s="1" t="s">
        <v>12</v>
      </c>
    </row>
    <row r="249">
      <c r="A249" s="4" t="str">
        <f>hyperlink("http://historiamujeres.es/mujere.html#Escobar","Escobar del Rey, Josefína")</f>
        <v>Escobar del Rey, Josefína</v>
      </c>
      <c r="B249" s="1" t="s">
        <v>12</v>
      </c>
      <c r="C249" s="1" t="s">
        <v>24</v>
      </c>
      <c r="D249" s="1" t="s">
        <v>12</v>
      </c>
      <c r="E249" s="1" t="s">
        <v>12</v>
      </c>
      <c r="F249" s="2">
        <v>1930.0</v>
      </c>
      <c r="G249" s="1" t="s">
        <v>12</v>
      </c>
      <c r="H249" s="1" t="s">
        <v>12</v>
      </c>
      <c r="I249" s="1" t="s">
        <v>12</v>
      </c>
      <c r="J249" s="1" t="s">
        <v>81</v>
      </c>
      <c r="K249" s="1" t="s">
        <v>12</v>
      </c>
      <c r="L249" s="3" t="s">
        <v>12</v>
      </c>
      <c r="M249" s="1" t="s">
        <v>608</v>
      </c>
    </row>
    <row r="250">
      <c r="A250" s="4" t="str">
        <f>hyperlink("http://historiamujeres.es/mujere.html#Escolano","Escolano, Mercedes")</f>
        <v>Escolano, Mercedes</v>
      </c>
      <c r="B250" s="1" t="s">
        <v>12</v>
      </c>
      <c r="C250" s="1" t="s">
        <v>205</v>
      </c>
      <c r="D250" s="1" t="s">
        <v>12</v>
      </c>
      <c r="E250" s="1" t="s">
        <v>12</v>
      </c>
      <c r="F250" s="2">
        <v>1964.0</v>
      </c>
      <c r="G250" s="1" t="s">
        <v>12</v>
      </c>
      <c r="H250" s="1" t="s">
        <v>12</v>
      </c>
      <c r="I250" s="1" t="s">
        <v>12</v>
      </c>
      <c r="J250" s="1" t="s">
        <v>73</v>
      </c>
      <c r="K250" s="1" t="s">
        <v>609</v>
      </c>
      <c r="L250" s="3" t="s">
        <v>12</v>
      </c>
      <c r="M250" s="1" t="s">
        <v>12</v>
      </c>
    </row>
    <row r="251">
      <c r="A251" s="4" t="str">
        <f>hyperlink("http://historiamujeres.es/mujere.html#ESCRIBANO","Escribano Aguirre, Soledad")</f>
        <v>Escribano Aguirre, Soledad</v>
      </c>
      <c r="B251" s="1" t="s">
        <v>12</v>
      </c>
      <c r="C251" s="1" t="s">
        <v>262</v>
      </c>
      <c r="D251" s="1" t="s">
        <v>262</v>
      </c>
      <c r="E251" s="1" t="s">
        <v>12</v>
      </c>
      <c r="F251" s="2">
        <v>1906.0</v>
      </c>
      <c r="G251" s="1" t="s">
        <v>12</v>
      </c>
      <c r="H251" s="1">
        <v>1990.0</v>
      </c>
      <c r="I251" s="1" t="s">
        <v>12</v>
      </c>
      <c r="J251" s="1" t="s">
        <v>610</v>
      </c>
      <c r="K251" s="1" t="s">
        <v>12</v>
      </c>
      <c r="L251" s="3" t="s">
        <v>12</v>
      </c>
      <c r="M251" s="1" t="s">
        <v>12</v>
      </c>
    </row>
    <row r="252">
      <c r="A252" s="7" t="str">
        <f>hyperlink("http://historiamujeres.es/mujere.html#Escribano_toledo","Escribano Toledo,  María Luisa")</f>
        <v>Escribano Toledo,  María Luisa</v>
      </c>
      <c r="B252" s="9" t="s">
        <v>12</v>
      </c>
      <c r="C252" s="9" t="s">
        <v>12</v>
      </c>
      <c r="D252" s="9" t="s">
        <v>12</v>
      </c>
      <c r="E252" s="9" t="s">
        <v>611</v>
      </c>
      <c r="F252" s="12">
        <v>1945.0</v>
      </c>
      <c r="G252" s="13" t="s">
        <v>17</v>
      </c>
      <c r="H252" s="9" t="s">
        <v>12</v>
      </c>
      <c r="I252" s="9" t="s">
        <v>12</v>
      </c>
      <c r="J252" s="9" t="s">
        <v>59</v>
      </c>
      <c r="K252" s="9" t="s">
        <v>470</v>
      </c>
      <c r="L252" s="14" t="s">
        <v>12</v>
      </c>
      <c r="M252" s="9" t="s">
        <v>612</v>
      </c>
    </row>
    <row r="253">
      <c r="A253" s="4" t="str">
        <f>hyperlink("http://historiamujeres.es/mujere.html#Escritorasg","Escritoras granadinas Siglos VIII-XX")</f>
        <v>Escritoras granadinas Siglos VIII-XX</v>
      </c>
      <c r="B253" s="1" t="s">
        <v>12</v>
      </c>
      <c r="C253" s="1" t="s">
        <v>12</v>
      </c>
      <c r="D253" s="1" t="s">
        <v>12</v>
      </c>
      <c r="E253" s="1" t="s">
        <v>30</v>
      </c>
      <c r="F253" s="2">
        <v>700.0</v>
      </c>
      <c r="G253" s="1" t="s">
        <v>12</v>
      </c>
      <c r="H253" s="1">
        <v>2000.0</v>
      </c>
      <c r="I253" s="1" t="s">
        <v>12</v>
      </c>
      <c r="J253" s="1" t="s">
        <v>47</v>
      </c>
      <c r="K253" s="1" t="s">
        <v>15</v>
      </c>
      <c r="L253" s="3" t="s">
        <v>12</v>
      </c>
      <c r="M253" s="1" t="s">
        <v>613</v>
      </c>
    </row>
    <row r="254">
      <c r="A254" s="4" t="str">
        <f>hyperlink("http://historiamujeres.es/mujere.html#Escuin","Escuín, María Luz")</f>
        <v>Escuín, María Luz</v>
      </c>
      <c r="B254" s="1" t="s">
        <v>12</v>
      </c>
      <c r="C254" s="1" t="s">
        <v>30</v>
      </c>
      <c r="D254" s="1" t="s">
        <v>12</v>
      </c>
      <c r="E254" s="1" t="s">
        <v>24</v>
      </c>
      <c r="F254" s="2">
        <v>1951.0</v>
      </c>
      <c r="G254" s="1" t="s">
        <v>12</v>
      </c>
      <c r="H254" s="1" t="s">
        <v>12</v>
      </c>
      <c r="I254" s="1" t="s">
        <v>12</v>
      </c>
      <c r="J254" s="1" t="s">
        <v>73</v>
      </c>
      <c r="K254" s="1" t="s">
        <v>12</v>
      </c>
      <c r="L254" s="3" t="s">
        <v>12</v>
      </c>
      <c r="M254" s="1" t="s">
        <v>12</v>
      </c>
    </row>
    <row r="255">
      <c r="A255" s="4" t="str">
        <f>hyperlink("http://historiamujeres.es/mujere.html#Espinomo","Espinosa de los Monteros y Díaz de Santiago, María")</f>
        <v>Espinosa de los Monteros y Díaz de Santiago, María</v>
      </c>
      <c r="B255" s="1" t="s">
        <v>12</v>
      </c>
      <c r="C255" s="1" t="s">
        <v>614</v>
      </c>
      <c r="D255" s="1" t="s">
        <v>134</v>
      </c>
      <c r="E255" s="1" t="s">
        <v>12</v>
      </c>
      <c r="F255" s="2">
        <v>1875.0</v>
      </c>
      <c r="G255" s="1" t="s">
        <v>12</v>
      </c>
      <c r="H255" s="1">
        <v>1946.0</v>
      </c>
      <c r="I255" s="1" t="s">
        <v>12</v>
      </c>
      <c r="J255" s="1" t="s">
        <v>615</v>
      </c>
      <c r="K255" s="1" t="s">
        <v>80</v>
      </c>
      <c r="L255" s="3" t="s">
        <v>12</v>
      </c>
      <c r="M255" s="1" t="s">
        <v>616</v>
      </c>
    </row>
    <row r="256">
      <c r="A256" s="4" t="str">
        <f>hyperlink("http://historiamujeres.es/mujerv.html#Valenzu","Espinosa López-Cepero, Rocío")</f>
        <v>Espinosa López-Cepero, Rocío</v>
      </c>
      <c r="B256" s="1" t="s">
        <v>617</v>
      </c>
      <c r="C256" s="1" t="s">
        <v>27</v>
      </c>
      <c r="D256" s="1" t="s">
        <v>12</v>
      </c>
      <c r="E256" s="1" t="s">
        <v>12</v>
      </c>
      <c r="F256" s="2">
        <v>1931.0</v>
      </c>
      <c r="G256" s="1" t="s">
        <v>12</v>
      </c>
      <c r="H256" s="1" t="s">
        <v>12</v>
      </c>
      <c r="I256" s="1" t="s">
        <v>12</v>
      </c>
      <c r="J256" s="1" t="s">
        <v>214</v>
      </c>
      <c r="K256" s="1" t="s">
        <v>618</v>
      </c>
      <c r="L256" s="3" t="s">
        <v>12</v>
      </c>
      <c r="M256" s="1" t="s">
        <v>12</v>
      </c>
    </row>
    <row r="257">
      <c r="A257" s="4" t="str">
        <f>hyperlink("http://historiamujeres.es/mujere.html#Espinosa_y_Garc%EDa","Espinosa y García, Ana Isabel")</f>
        <v>Espinosa y García, Ana Isabel</v>
      </c>
      <c r="B257" s="1" t="s">
        <v>12</v>
      </c>
      <c r="C257" s="1" t="s">
        <v>205</v>
      </c>
      <c r="D257" s="1" t="s">
        <v>12</v>
      </c>
      <c r="E257" s="1" t="s">
        <v>12</v>
      </c>
      <c r="F257" s="2">
        <v>1962.0</v>
      </c>
      <c r="G257" s="1" t="s">
        <v>12</v>
      </c>
      <c r="H257" s="1" t="s">
        <v>12</v>
      </c>
      <c r="I257" s="1" t="s">
        <v>12</v>
      </c>
      <c r="J257" s="1" t="s">
        <v>113</v>
      </c>
      <c r="K257" s="1" t="s">
        <v>81</v>
      </c>
      <c r="L257" s="3" t="s">
        <v>12</v>
      </c>
      <c r="M257" s="1" t="s">
        <v>12</v>
      </c>
    </row>
    <row r="258">
      <c r="A258" s="4" t="str">
        <f>hyperlink("http://historiamujeres.es/mujere.html#ESPINOSA","Espinosa y Tello, Ana María")</f>
        <v>Espinosa y Tello, Ana María</v>
      </c>
      <c r="B258" s="1" t="s">
        <v>12</v>
      </c>
      <c r="C258" s="1" t="s">
        <v>27</v>
      </c>
      <c r="D258" s="1" t="s">
        <v>12</v>
      </c>
      <c r="E258" s="1" t="s">
        <v>12</v>
      </c>
      <c r="F258" s="5">
        <v>1750.0</v>
      </c>
      <c r="G258" s="6" t="s">
        <v>17</v>
      </c>
      <c r="H258" s="1">
        <v>1800.0</v>
      </c>
      <c r="I258" s="1" t="s">
        <v>12</v>
      </c>
      <c r="J258" s="1" t="s">
        <v>187</v>
      </c>
      <c r="K258" s="1" t="s">
        <v>12</v>
      </c>
      <c r="L258" s="3" t="s">
        <v>12</v>
      </c>
      <c r="M258" s="1" t="s">
        <v>12</v>
      </c>
    </row>
    <row r="259">
      <c r="A259" s="11" t="str">
        <f>hyperlink("http://historiamujeres.es/mujere.html#ESQUIVEL","Esquivel Vizuete, Maria")</f>
        <v>Esquivel Vizuete, Maria</v>
      </c>
      <c r="B259" s="35" t="s">
        <v>619</v>
      </c>
      <c r="C259" s="9" t="s">
        <v>12</v>
      </c>
      <c r="D259" s="9" t="s">
        <v>620</v>
      </c>
      <c r="E259" s="9" t="s">
        <v>12</v>
      </c>
      <c r="F259" s="12">
        <v>1910.0</v>
      </c>
      <c r="G259" s="13" t="s">
        <v>17</v>
      </c>
      <c r="H259" s="9">
        <v>1943.0</v>
      </c>
      <c r="I259" s="9" t="s">
        <v>12</v>
      </c>
      <c r="J259" s="9" t="s">
        <v>520</v>
      </c>
      <c r="K259" s="9" t="s">
        <v>621</v>
      </c>
      <c r="L259" s="3"/>
      <c r="M259" s="1"/>
    </row>
    <row r="260">
      <c r="A260" s="11" t="str">
        <f>hyperlink("http://historiamujeres.es/mujere.html#Estatua","Estatua de la Caridad")</f>
        <v>Estatua de la Caridad</v>
      </c>
      <c r="B260" s="9" t="s">
        <v>12</v>
      </c>
      <c r="C260" s="9" t="s">
        <v>26</v>
      </c>
      <c r="D260" s="9" t="s">
        <v>26</v>
      </c>
      <c r="E260" s="9" t="s">
        <v>12</v>
      </c>
      <c r="F260" s="15">
        <v>1891.0</v>
      </c>
      <c r="G260" s="9" t="s">
        <v>12</v>
      </c>
      <c r="H260" s="9" t="s">
        <v>12</v>
      </c>
      <c r="I260" s="9" t="s">
        <v>12</v>
      </c>
      <c r="J260" s="9" t="s">
        <v>622</v>
      </c>
      <c r="K260" s="9" t="s">
        <v>12</v>
      </c>
      <c r="L260" s="14" t="s">
        <v>12</v>
      </c>
      <c r="M260" s="9" t="s">
        <v>623</v>
      </c>
    </row>
    <row r="261">
      <c r="A261" s="4" t="str">
        <f>hyperlink("http://historiamujeres.es/mujere.html#ESTEVARENA","Esteverana Gallardo, Concepción")</f>
        <v>Esteverana Gallardo, Concepción</v>
      </c>
      <c r="B261" s="1" t="s">
        <v>12</v>
      </c>
      <c r="C261" s="1" t="s">
        <v>27</v>
      </c>
      <c r="D261" s="1" t="s">
        <v>624</v>
      </c>
      <c r="E261" s="1" t="s">
        <v>12</v>
      </c>
      <c r="F261" s="2">
        <v>1854.0</v>
      </c>
      <c r="G261" s="1" t="s">
        <v>12</v>
      </c>
      <c r="H261" s="1">
        <v>1876.0</v>
      </c>
      <c r="I261" s="1" t="s">
        <v>12</v>
      </c>
      <c r="J261" s="1" t="s">
        <v>216</v>
      </c>
      <c r="K261" s="1" t="s">
        <v>12</v>
      </c>
      <c r="L261" s="3" t="s">
        <v>12</v>
      </c>
      <c r="M261" s="1" t="s">
        <v>12</v>
      </c>
    </row>
    <row r="262">
      <c r="A262" s="7" t="str">
        <f>hyperlink("http://historiamujeres.es/medalla/estevez-jimenez.html","Estévez Jiménez de los Galanes, Ana Bella")</f>
        <v>Estévez Jiménez de los Galanes, Ana Bella</v>
      </c>
      <c r="B262" s="8" t="s">
        <v>12</v>
      </c>
      <c r="C262" s="8" t="s">
        <v>27</v>
      </c>
      <c r="D262" s="8" t="s">
        <v>12</v>
      </c>
      <c r="E262" s="8" t="s">
        <v>26</v>
      </c>
      <c r="F262" s="8">
        <v>1972.0</v>
      </c>
      <c r="H262" s="8" t="s">
        <v>12</v>
      </c>
      <c r="I262" s="8" t="s">
        <v>12</v>
      </c>
      <c r="J262" t="s">
        <v>625</v>
      </c>
      <c r="K262" s="8" t="s">
        <v>626</v>
      </c>
      <c r="L262" s="8" t="s">
        <v>12</v>
      </c>
      <c r="M262" s="8" t="s">
        <v>157</v>
      </c>
    </row>
    <row r="263">
      <c r="A263" s="4" t="str">
        <f>hyperlink("http://historiamujeres.es/mujerf.html#Fadl","Fadl al-Madiniyya")</f>
        <v>Fadl al-Madiniyya</v>
      </c>
      <c r="B263" s="1" t="s">
        <v>12</v>
      </c>
      <c r="C263" s="1" t="s">
        <v>627</v>
      </c>
      <c r="D263" s="1" t="s">
        <v>12</v>
      </c>
      <c r="E263" s="1" t="s">
        <v>24</v>
      </c>
      <c r="F263" s="5">
        <v>825.0</v>
      </c>
      <c r="G263" s="6" t="s">
        <v>43</v>
      </c>
      <c r="H263" s="6">
        <v>875.0</v>
      </c>
      <c r="I263" s="1" t="s">
        <v>12</v>
      </c>
      <c r="J263" s="1" t="s">
        <v>628</v>
      </c>
      <c r="K263" s="1" t="s">
        <v>12</v>
      </c>
      <c r="L263" s="3" t="s">
        <v>12</v>
      </c>
      <c r="M263" s="1" t="s">
        <v>629</v>
      </c>
    </row>
    <row r="264">
      <c r="A264" s="4" t="str">
        <f>hyperlink("http://historiamujeres.es/mujerf.html#Fajardo","Fajardo Chacón de Toledo, María Teresa")</f>
        <v>Fajardo Chacón de Toledo, María Teresa</v>
      </c>
      <c r="B264" s="1" t="s">
        <v>630</v>
      </c>
      <c r="C264" s="1" t="s">
        <v>12</v>
      </c>
      <c r="D264" s="1" t="s">
        <v>12</v>
      </c>
      <c r="E264" s="1" t="s">
        <v>117</v>
      </c>
      <c r="F264" s="5">
        <v>1645.0</v>
      </c>
      <c r="G264" s="6" t="s">
        <v>43</v>
      </c>
      <c r="H264" s="6">
        <v>1720.0</v>
      </c>
      <c r="I264" s="1">
        <v>1697.0</v>
      </c>
      <c r="J264" s="1" t="s">
        <v>631</v>
      </c>
      <c r="K264" s="1" t="s">
        <v>12</v>
      </c>
      <c r="L264" s="3" t="s">
        <v>12</v>
      </c>
      <c r="M264" s="1" t="s">
        <v>12</v>
      </c>
    </row>
    <row r="265">
      <c r="A265" s="7" t="str">
        <f>hyperlink("http://historiamujeres.es/mujerf.html#Fajardo_mencia","Fajardo, Mencia")</f>
        <v>Fajardo, Mencia</v>
      </c>
      <c r="B265" s="9" t="s">
        <v>12</v>
      </c>
      <c r="C265" s="9"/>
      <c r="D265" s="20" t="s">
        <v>117</v>
      </c>
      <c r="E265" s="9" t="s">
        <v>12</v>
      </c>
      <c r="F265" s="29">
        <v>1592.0</v>
      </c>
      <c r="G265" s="13" t="s">
        <v>92</v>
      </c>
      <c r="H265" s="13">
        <v>1660.0</v>
      </c>
      <c r="I265" s="9" t="s">
        <v>12</v>
      </c>
      <c r="J265" s="9" t="s">
        <v>632</v>
      </c>
      <c r="K265" s="9" t="s">
        <v>12</v>
      </c>
      <c r="L265" s="19" t="s">
        <v>12</v>
      </c>
      <c r="M265" s="9" t="s">
        <v>633</v>
      </c>
    </row>
    <row r="266">
      <c r="A266" s="11" t="str">
        <f>hyperlink("http://historiamujeres.es/mujerf.html#fatima-Bint","Fāṭima Bint Al-Aḥmar")
</f>
        <v>Fāṭima Bint Al-Aḥmar</v>
      </c>
      <c r="B266" s="9" t="s">
        <v>12</v>
      </c>
      <c r="C266" s="9" t="s">
        <v>30</v>
      </c>
      <c r="D266" s="9" t="s">
        <v>30</v>
      </c>
      <c r="E266" s="9" t="s">
        <v>98</v>
      </c>
      <c r="F266" s="15">
        <v>1261.0</v>
      </c>
      <c r="G266" s="9" t="s">
        <v>12</v>
      </c>
      <c r="H266" s="9">
        <v>1349.0</v>
      </c>
      <c r="I266" s="9" t="s">
        <v>12</v>
      </c>
      <c r="J266" s="9" t="s">
        <v>634</v>
      </c>
      <c r="K266" s="9" t="s">
        <v>12</v>
      </c>
      <c r="L266" s="14" t="s">
        <v>12</v>
      </c>
      <c r="M266" s="9" t="s">
        <v>635</v>
      </c>
    </row>
    <row r="267">
      <c r="A267" s="4" t="str">
        <f>hyperlink("http://historiamujeres.es/mujerf.html#Fatima","Fátima de Córdoba")</f>
        <v>Fátima de Córdoba</v>
      </c>
      <c r="B267" s="1" t="s">
        <v>636</v>
      </c>
      <c r="C267" s="1" t="s">
        <v>637</v>
      </c>
      <c r="D267" s="1" t="s">
        <v>24</v>
      </c>
      <c r="E267" s="1" t="s">
        <v>12</v>
      </c>
      <c r="F267" s="5">
        <v>1110.0</v>
      </c>
      <c r="G267" s="6" t="s">
        <v>43</v>
      </c>
      <c r="H267" s="6">
        <v>1200.0</v>
      </c>
      <c r="I267" s="1" t="s">
        <v>12</v>
      </c>
      <c r="J267" s="1" t="s">
        <v>638</v>
      </c>
      <c r="K267" s="1" t="s">
        <v>12</v>
      </c>
      <c r="L267" s="3" t="s">
        <v>12</v>
      </c>
      <c r="M267" s="1" t="s">
        <v>639</v>
      </c>
    </row>
    <row r="268">
      <c r="A268" s="4" t="str">
        <f>hyperlink("http://historiamujeres.es/mujerf.html#Fatima_de_Madrid","Fátima de Madrid")</f>
        <v>Fátima de Madrid</v>
      </c>
      <c r="B268" s="1" t="s">
        <v>12</v>
      </c>
      <c r="C268" s="1" t="s">
        <v>68</v>
      </c>
      <c r="D268" s="1" t="s">
        <v>12</v>
      </c>
      <c r="E268" s="1" t="s">
        <v>24</v>
      </c>
      <c r="F268" s="5">
        <v>970.0</v>
      </c>
      <c r="G268" s="6" t="s">
        <v>43</v>
      </c>
      <c r="H268" s="6">
        <v>1020.0</v>
      </c>
      <c r="I268" s="1" t="s">
        <v>12</v>
      </c>
      <c r="J268" s="1" t="s">
        <v>640</v>
      </c>
      <c r="K268" s="1" t="s">
        <v>12</v>
      </c>
      <c r="L268" s="3" t="s">
        <v>12</v>
      </c>
      <c r="M268" s="1" t="s">
        <v>12</v>
      </c>
    </row>
    <row r="269">
      <c r="A269" s="4" t="str">
        <f>hyperlink("http://historiamujeres.es/mujerf.html#Faus","Faus Dáder, María José")</f>
        <v>Faus Dáder, María José</v>
      </c>
      <c r="B269" s="1" t="s">
        <v>12</v>
      </c>
      <c r="C269" s="1" t="s">
        <v>12</v>
      </c>
      <c r="D269" s="1" t="s">
        <v>12</v>
      </c>
      <c r="E269" s="1" t="s">
        <v>30</v>
      </c>
      <c r="F269" s="5">
        <v>1950.0</v>
      </c>
      <c r="G269" s="6" t="s">
        <v>17</v>
      </c>
      <c r="H269" s="1" t="s">
        <v>12</v>
      </c>
      <c r="I269" s="1">
        <v>1992.0</v>
      </c>
      <c r="J269" s="1" t="s">
        <v>641</v>
      </c>
      <c r="K269" s="1" t="s">
        <v>642</v>
      </c>
      <c r="L269" s="3" t="s">
        <v>12</v>
      </c>
      <c r="M269" s="1" t="s">
        <v>643</v>
      </c>
    </row>
    <row r="270">
      <c r="A270" s="4" t="str">
        <f>hyperlink("http://historiamujeres.es/mujerf.html#Feliu","Feliu Aquiola, Elena")</f>
        <v>Feliu Aquiola, Elena</v>
      </c>
      <c r="B270" s="1" t="s">
        <v>12</v>
      </c>
      <c r="C270" s="1" t="s">
        <v>178</v>
      </c>
      <c r="D270" s="1" t="s">
        <v>12</v>
      </c>
      <c r="E270" s="1" t="s">
        <v>64</v>
      </c>
      <c r="F270" s="2">
        <v>1974.0</v>
      </c>
      <c r="G270" s="1" t="s">
        <v>12</v>
      </c>
      <c r="H270" s="1" t="s">
        <v>12</v>
      </c>
      <c r="I270" s="1" t="s">
        <v>12</v>
      </c>
      <c r="J270" s="1" t="s">
        <v>187</v>
      </c>
      <c r="K270" s="1" t="s">
        <v>644</v>
      </c>
      <c r="L270" s="3" t="s">
        <v>12</v>
      </c>
      <c r="M270" s="1" t="s">
        <v>12</v>
      </c>
    </row>
    <row r="271">
      <c r="A271" s="4" t="str">
        <f>hyperlink("http://historiamujeres.es/mujerf.html#Feminian","Feminismo andalucista")</f>
        <v>Feminismo andalucista</v>
      </c>
      <c r="B271" s="1" t="s">
        <v>12</v>
      </c>
      <c r="C271" s="1" t="s">
        <v>12</v>
      </c>
      <c r="D271" s="1" t="s">
        <v>12</v>
      </c>
      <c r="E271" s="1" t="s">
        <v>146</v>
      </c>
      <c r="F271" s="2">
        <v>1916.0</v>
      </c>
      <c r="G271" s="1" t="s">
        <v>12</v>
      </c>
      <c r="H271" s="1">
        <v>1939.0</v>
      </c>
      <c r="I271" s="1" t="s">
        <v>12</v>
      </c>
      <c r="J271" s="1" t="s">
        <v>56</v>
      </c>
      <c r="K271" s="1" t="s">
        <v>645</v>
      </c>
      <c r="L271" s="3" t="s">
        <v>12</v>
      </c>
      <c r="M271" s="1" t="s">
        <v>12</v>
      </c>
    </row>
    <row r="272">
      <c r="A272" s="4" t="str">
        <f>hyperlink("http://historiamujeres.es/mujerf.html#Fernanda_fernandez","Fenández Sor Fernanda")</f>
        <v>Fenández Sor Fernanda</v>
      </c>
      <c r="B272" s="1" t="s">
        <v>12</v>
      </c>
      <c r="C272" s="1" t="s">
        <v>646</v>
      </c>
      <c r="D272" s="1" t="s">
        <v>12</v>
      </c>
      <c r="E272" s="1" t="s">
        <v>12</v>
      </c>
      <c r="F272" s="16">
        <v>1755.0</v>
      </c>
      <c r="G272" s="6" t="s">
        <v>92</v>
      </c>
      <c r="H272" s="6">
        <v>1810.0</v>
      </c>
      <c r="I272" s="1" t="s">
        <v>12</v>
      </c>
      <c r="J272" s="1" t="s">
        <v>647</v>
      </c>
      <c r="K272" s="1" t="s">
        <v>154</v>
      </c>
      <c r="L272" s="3" t="s">
        <v>12</v>
      </c>
      <c r="M272" s="1" t="s">
        <v>648</v>
      </c>
    </row>
    <row r="273">
      <c r="A273" s="4" t="str">
        <f>hyperlink("http://historiamujeres.es/mujerf.html#Fenoll","Fenoll Hach Alí, Purificación")</f>
        <v>Fenoll Hach Alí, Purificación</v>
      </c>
      <c r="B273" s="1" t="s">
        <v>12</v>
      </c>
      <c r="C273" s="1" t="s">
        <v>30</v>
      </c>
      <c r="D273" s="1" t="s">
        <v>12</v>
      </c>
      <c r="E273" s="1" t="s">
        <v>12</v>
      </c>
      <c r="F273" s="2">
        <v>1935.0</v>
      </c>
      <c r="G273" s="1" t="s">
        <v>12</v>
      </c>
      <c r="H273" s="1" t="s">
        <v>12</v>
      </c>
      <c r="I273" s="1" t="s">
        <v>12</v>
      </c>
      <c r="J273" s="1" t="s">
        <v>649</v>
      </c>
      <c r="K273" s="1" t="s">
        <v>12</v>
      </c>
      <c r="L273" s="3" t="s">
        <v>12</v>
      </c>
      <c r="M273" s="1" t="s">
        <v>650</v>
      </c>
    </row>
    <row r="274">
      <c r="A274" s="4" t="str">
        <f>hyperlink("http://historiamujeres.es/mujerf.html#Fernandezjim ","Fernández  Jiménez, Antonia")</f>
        <v>Fernández  Jiménez, Antonia</v>
      </c>
      <c r="B274" s="1" t="s">
        <v>12</v>
      </c>
      <c r="C274" s="1" t="s">
        <v>651</v>
      </c>
      <c r="D274" s="1" t="s">
        <v>12</v>
      </c>
      <c r="E274" s="1" t="s">
        <v>12</v>
      </c>
      <c r="F274" s="2">
        <v>1926.0</v>
      </c>
      <c r="G274" s="1" t="s">
        <v>12</v>
      </c>
      <c r="H274" s="1" t="s">
        <v>12</v>
      </c>
      <c r="I274" s="1" t="s">
        <v>12</v>
      </c>
      <c r="J274" s="1" t="s">
        <v>652</v>
      </c>
      <c r="K274" s="1" t="s">
        <v>653</v>
      </c>
      <c r="L274" s="3" t="s">
        <v>654</v>
      </c>
      <c r="M274" s="1" t="s">
        <v>655</v>
      </c>
    </row>
    <row r="275">
      <c r="A275" s="4" t="str">
        <f>hyperlink("http://historiamujeres.es/mujerf.html#Fern%E1ndezcam","Fernández Camacho, Asunción")</f>
        <v>Fernández Camacho, Asunción</v>
      </c>
      <c r="B275" s="1" t="s">
        <v>12</v>
      </c>
      <c r="C275" s="1" t="s">
        <v>656</v>
      </c>
      <c r="D275" s="1" t="s">
        <v>12</v>
      </c>
      <c r="E275" s="1" t="s">
        <v>657</v>
      </c>
      <c r="F275" s="2">
        <v>1958.0</v>
      </c>
      <c r="G275" s="1" t="s">
        <v>12</v>
      </c>
      <c r="H275" s="1" t="s">
        <v>12</v>
      </c>
      <c r="I275" s="1" t="s">
        <v>12</v>
      </c>
      <c r="J275" s="1" t="s">
        <v>658</v>
      </c>
      <c r="K275" s="1" t="s">
        <v>12</v>
      </c>
      <c r="L275" s="3" t="s">
        <v>12</v>
      </c>
      <c r="M275" s="1" t="s">
        <v>659</v>
      </c>
    </row>
    <row r="276">
      <c r="A276" s="4" t="str">
        <f>hyperlink("http://historiamujeres.es/mujerf.html#Fernandezco","Fernández Cortés, Marga")</f>
        <v>Fernández Cortés, Marga</v>
      </c>
      <c r="B276" s="1" t="s">
        <v>12</v>
      </c>
      <c r="C276" s="1" t="s">
        <v>30</v>
      </c>
      <c r="D276" s="1" t="s">
        <v>12</v>
      </c>
      <c r="E276" s="1" t="s">
        <v>12</v>
      </c>
      <c r="F276" s="2">
        <v>1972.0</v>
      </c>
      <c r="G276" s="1" t="s">
        <v>12</v>
      </c>
      <c r="H276" s="1" t="s">
        <v>12</v>
      </c>
      <c r="I276" s="1" t="s">
        <v>12</v>
      </c>
      <c r="J276" s="1" t="s">
        <v>660</v>
      </c>
      <c r="K276" s="1" t="s">
        <v>12</v>
      </c>
      <c r="L276" s="3" t="s">
        <v>12</v>
      </c>
      <c r="M276" s="1" t="s">
        <v>12</v>
      </c>
    </row>
    <row r="277">
      <c r="A277" s="4" t="str">
        <f>hyperlink("http://historiamujeres.es/mujerf.html#FERNNDEZcot","Fernández Cotta, María Luisa")</f>
        <v>Fernández Cotta, María Luisa</v>
      </c>
      <c r="B277" s="1" t="s">
        <v>12</v>
      </c>
      <c r="C277" s="1" t="s">
        <v>661</v>
      </c>
      <c r="D277" s="1" t="s">
        <v>12</v>
      </c>
      <c r="E277" s="1" t="s">
        <v>12</v>
      </c>
      <c r="F277" s="5">
        <v>1925.0</v>
      </c>
      <c r="G277" s="6" t="s">
        <v>17</v>
      </c>
      <c r="H277" s="1" t="s">
        <v>12</v>
      </c>
      <c r="I277" s="1">
        <v>1963.0</v>
      </c>
      <c r="J277" s="1" t="s">
        <v>65</v>
      </c>
      <c r="K277" s="1" t="s">
        <v>12</v>
      </c>
      <c r="L277" s="3" t="s">
        <v>12</v>
      </c>
      <c r="M277" s="1" t="s">
        <v>12</v>
      </c>
    </row>
    <row r="278">
      <c r="A278" s="4" t="str">
        <f>hyperlink("http://historiamujeres.es/mujerf.html#FERNNDEZcris","Fernández de Alarcón, Cristobalina")</f>
        <v>Fernández de Alarcón, Cristobalina</v>
      </c>
      <c r="B278" s="1" t="s">
        <v>12</v>
      </c>
      <c r="C278" s="1" t="s">
        <v>255</v>
      </c>
      <c r="D278" s="1" t="s">
        <v>255</v>
      </c>
      <c r="E278" s="1" t="s">
        <v>12</v>
      </c>
      <c r="F278" s="2">
        <v>1576.0</v>
      </c>
      <c r="G278" s="1" t="s">
        <v>12</v>
      </c>
      <c r="H278" s="1">
        <v>1646.0</v>
      </c>
      <c r="I278" s="1" t="s">
        <v>12</v>
      </c>
      <c r="J278" s="1" t="s">
        <v>187</v>
      </c>
      <c r="K278" s="1" t="s">
        <v>12</v>
      </c>
      <c r="L278" s="3" t="s">
        <v>12</v>
      </c>
      <c r="M278" s="1" t="s">
        <v>12</v>
      </c>
    </row>
    <row r="279">
      <c r="A279" s="4" t="str">
        <f>hyperlink("http://historiamujeres.es/mujerf.html#Fern%E1ndez_de_Castro_Natalia_","Fernández de Castro, Natalia")</f>
        <v>Fernández de Castro, Natalia</v>
      </c>
      <c r="B279" s="9" t="s">
        <v>662</v>
      </c>
      <c r="C279" s="9" t="s">
        <v>663</v>
      </c>
      <c r="D279" s="9" t="s">
        <v>664</v>
      </c>
      <c r="E279" s="9" t="s">
        <v>205</v>
      </c>
      <c r="F279" s="15">
        <v>1834.0</v>
      </c>
      <c r="G279" s="13" t="s">
        <v>92</v>
      </c>
      <c r="H279" s="13">
        <v>1895.0</v>
      </c>
      <c r="I279" s="9" t="s">
        <v>12</v>
      </c>
      <c r="J279" s="9" t="s">
        <v>665</v>
      </c>
      <c r="K279" s="9" t="s">
        <v>12</v>
      </c>
      <c r="L279" s="19" t="s">
        <v>12</v>
      </c>
      <c r="M279" s="9" t="s">
        <v>666</v>
      </c>
    </row>
    <row r="280">
      <c r="A280" s="4" t="str">
        <f>hyperlink("http://historiamujeres.es/mujerf.html#Fernandez_de_C%F3rdoba","Fernández de Córdoba y Ponce de León, María Magdalena")</f>
        <v>Fernández de Córdoba y Ponce de León, María Magdalena</v>
      </c>
      <c r="B280" s="1" t="s">
        <v>12</v>
      </c>
      <c r="C280" s="1" t="s">
        <v>24</v>
      </c>
      <c r="D280" s="1" t="s">
        <v>68</v>
      </c>
      <c r="E280" s="1" t="s">
        <v>12</v>
      </c>
      <c r="F280" s="2">
        <v>1780.0</v>
      </c>
      <c r="G280" s="1" t="s">
        <v>12</v>
      </c>
      <c r="H280" s="1">
        <v>1830.0</v>
      </c>
      <c r="I280" s="1" t="s">
        <v>12</v>
      </c>
      <c r="J280" s="1" t="s">
        <v>667</v>
      </c>
      <c r="K280" s="1" t="s">
        <v>113</v>
      </c>
      <c r="L280" s="3" t="s">
        <v>668</v>
      </c>
      <c r="M280" s="1" t="s">
        <v>12</v>
      </c>
    </row>
    <row r="281">
      <c r="A281" s="7" t="str">
        <f>hyperlink("http://historiamujeres.es/mujerf.html#Fernandez_de_Mo","Fernández de Mora, Pilar")</f>
        <v>Fernández de Mora, Pilar</v>
      </c>
      <c r="B281" s="1" t="s">
        <v>12</v>
      </c>
      <c r="C281" s="8" t="s">
        <v>27</v>
      </c>
      <c r="D281" s="8" t="s">
        <v>68</v>
      </c>
      <c r="E281" s="1" t="s">
        <v>12</v>
      </c>
      <c r="F281" s="44">
        <v>1867.0</v>
      </c>
      <c r="G281" s="8" t="s">
        <v>12</v>
      </c>
      <c r="H281" s="8">
        <v>1929.0</v>
      </c>
      <c r="I281" s="1" t="s">
        <v>12</v>
      </c>
      <c r="J281" s="8" t="s">
        <v>669</v>
      </c>
      <c r="K281" s="8" t="s">
        <v>670</v>
      </c>
      <c r="L281" s="3" t="s">
        <v>12</v>
      </c>
    </row>
    <row r="282">
      <c r="A282" s="4" t="str">
        <f>hyperlink("http://historiamujeres.es/mujerf.html#Fernndezder","Fernández de Rábago, María Josefa")</f>
        <v>Fernández de Rábago, María Josefa</v>
      </c>
      <c r="B282" s="1" t="s">
        <v>671</v>
      </c>
      <c r="C282" s="1" t="s">
        <v>205</v>
      </c>
      <c r="D282" s="1" t="s">
        <v>12</v>
      </c>
      <c r="E282" s="1" t="s">
        <v>12</v>
      </c>
      <c r="F282" s="2">
        <v>1775.0</v>
      </c>
      <c r="G282" s="1" t="s">
        <v>12</v>
      </c>
      <c r="H282" s="1">
        <v>1861.0</v>
      </c>
      <c r="I282" s="1" t="s">
        <v>12</v>
      </c>
      <c r="J282" s="1" t="s">
        <v>672</v>
      </c>
      <c r="K282" s="1" t="s">
        <v>12</v>
      </c>
      <c r="L282" s="3" t="s">
        <v>12</v>
      </c>
      <c r="M282" s="1" t="s">
        <v>673</v>
      </c>
    </row>
    <row r="283">
      <c r="A283" s="4" t="str">
        <f>hyperlink("http://historiamujeres.es/mujerf.html#Fernandez-Aguera","Fernández Fernández-Agüera, Aurora")</f>
        <v>Fernández Fernández-Agüera, Aurora</v>
      </c>
      <c r="B283" s="9" t="s">
        <v>12</v>
      </c>
      <c r="C283" s="9" t="s">
        <v>674</v>
      </c>
      <c r="D283" s="9" t="s">
        <v>531</v>
      </c>
      <c r="E283" s="9" t="s">
        <v>12</v>
      </c>
      <c r="F283" s="15">
        <v>1910.0</v>
      </c>
      <c r="G283" s="9" t="s">
        <v>12</v>
      </c>
      <c r="H283" s="9">
        <v>2013.0</v>
      </c>
      <c r="I283" s="9" t="s">
        <v>12</v>
      </c>
      <c r="J283" s="9" t="s">
        <v>59</v>
      </c>
      <c r="K283" s="9" t="s">
        <v>12</v>
      </c>
      <c r="L283" s="14" t="s">
        <v>12</v>
      </c>
      <c r="M283" s="9" t="s">
        <v>12</v>
      </c>
    </row>
    <row r="284">
      <c r="A284" s="4" t="str">
        <f>hyperlink("http://historiamujeres.es/mujerf.html#Fernandezfe2","Fernández Fernández, María")</f>
        <v>Fernández Fernández, María</v>
      </c>
      <c r="B284" s="1" t="s">
        <v>12</v>
      </c>
      <c r="C284" s="1" t="s">
        <v>675</v>
      </c>
      <c r="D284" s="1" t="s">
        <v>12</v>
      </c>
      <c r="E284" s="1" t="s">
        <v>12</v>
      </c>
      <c r="F284" s="2">
        <v>1920.0</v>
      </c>
      <c r="G284" s="1" t="s">
        <v>12</v>
      </c>
      <c r="H284" s="1" t="s">
        <v>12</v>
      </c>
      <c r="I284" s="1" t="s">
        <v>12</v>
      </c>
      <c r="J284" s="1" t="s">
        <v>35</v>
      </c>
      <c r="K284" s="1" t="s">
        <v>12</v>
      </c>
      <c r="L284" s="3" t="s">
        <v>12</v>
      </c>
      <c r="M284" s="1" t="s">
        <v>676</v>
      </c>
    </row>
    <row r="285">
      <c r="A285" s="4" t="str">
        <f>hyperlink("http://historiamujeres.es/mujerf.html#Fernandezfe ","Fernández Fernández, María Encarnación")</f>
        <v>Fernández Fernández, María Encarnación</v>
      </c>
      <c r="B285" s="1" t="s">
        <v>12</v>
      </c>
      <c r="C285" s="1" t="s">
        <v>542</v>
      </c>
      <c r="D285" s="1" t="s">
        <v>12</v>
      </c>
      <c r="E285" s="1" t="s">
        <v>26</v>
      </c>
      <c r="F285" s="2">
        <v>1973.0</v>
      </c>
      <c r="G285" s="1" t="s">
        <v>12</v>
      </c>
      <c r="H285" s="1" t="s">
        <v>12</v>
      </c>
      <c r="I285" s="1" t="s">
        <v>12</v>
      </c>
      <c r="J285" s="1" t="s">
        <v>677</v>
      </c>
      <c r="K285" s="1" t="s">
        <v>12</v>
      </c>
      <c r="L285" s="3" t="s">
        <v>12</v>
      </c>
      <c r="M285" s="1" t="s">
        <v>678</v>
      </c>
    </row>
    <row r="286">
      <c r="A286" s="7" t="str">
        <f>hyperlink("http://historiamujeres.es/vidas/Fernandez-Goma-Paloma.html","Fernández Gomá, Paloma ")</f>
        <v>Fernández Gomá, Paloma </v>
      </c>
      <c r="B286" s="8" t="s">
        <v>12</v>
      </c>
      <c r="C286" s="8" t="s">
        <v>68</v>
      </c>
      <c r="D286" s="8" t="s">
        <v>12</v>
      </c>
      <c r="E286" s="8" t="s">
        <v>679</v>
      </c>
      <c r="F286" s="8">
        <v>1953.0</v>
      </c>
      <c r="G286" s="8" t="s">
        <v>12</v>
      </c>
      <c r="H286" s="8" t="s">
        <v>12</v>
      </c>
      <c r="I286" s="8" t="s">
        <v>12</v>
      </c>
      <c r="J286" s="8" t="s">
        <v>680</v>
      </c>
      <c r="K286" s="8" t="s">
        <v>681</v>
      </c>
      <c r="L286" s="8" t="s">
        <v>12</v>
      </c>
      <c r="M286" s="8" t="s">
        <v>682</v>
      </c>
    </row>
    <row r="287">
      <c r="A287" s="4" t="str">
        <f>hyperlink("http://historiamujeres.es/mujerp.html#Perrata","Fernández Granados, María")</f>
        <v>Fernández Granados, María</v>
      </c>
      <c r="B287" s="1" t="s">
        <v>683</v>
      </c>
      <c r="C287" s="1" t="s">
        <v>684</v>
      </c>
      <c r="D287" s="1" t="s">
        <v>197</v>
      </c>
      <c r="E287" s="1" t="s">
        <v>12</v>
      </c>
      <c r="F287" s="2">
        <v>1922.0</v>
      </c>
      <c r="G287" s="1" t="s">
        <v>12</v>
      </c>
      <c r="H287" s="1">
        <v>2005.0</v>
      </c>
      <c r="I287" s="1" t="s">
        <v>12</v>
      </c>
      <c r="J287" s="1" t="s">
        <v>69</v>
      </c>
      <c r="K287" s="1" t="s">
        <v>12</v>
      </c>
      <c r="L287" s="3" t="s">
        <v>12</v>
      </c>
      <c r="M287" s="1" t="s">
        <v>12</v>
      </c>
    </row>
    <row r="288">
      <c r="A288" s="4" t="str">
        <f>hyperlink("http://historiamujeres.es/mujerf.html#FernAndez_MartIn","Fernández Martín, Vicenta")</f>
        <v>Fernández Martín, Vicenta</v>
      </c>
      <c r="B288" s="9" t="s">
        <v>12</v>
      </c>
      <c r="C288" s="9" t="s">
        <v>685</v>
      </c>
      <c r="D288" s="9" t="s">
        <v>12</v>
      </c>
      <c r="E288" s="9" t="s">
        <v>12</v>
      </c>
      <c r="F288" s="15">
        <v>1956.0</v>
      </c>
      <c r="G288" s="9" t="s">
        <v>12</v>
      </c>
      <c r="H288" s="9" t="s">
        <v>12</v>
      </c>
      <c r="I288" s="9" t="s">
        <v>12</v>
      </c>
      <c r="J288" s="9" t="s">
        <v>686</v>
      </c>
      <c r="K288" s="9" t="s">
        <v>12</v>
      </c>
      <c r="L288" s="14" t="s">
        <v>12</v>
      </c>
      <c r="M288" s="9" t="s">
        <v>687</v>
      </c>
    </row>
    <row r="289">
      <c r="A289" s="4" t="str">
        <f>hyperlink("http://historiamujeres.es/mujers#Solea","Fernández Monje, María de la Soledad")</f>
        <v>Fernández Monje, María de la Soledad</v>
      </c>
      <c r="B289" s="1" t="s">
        <v>688</v>
      </c>
      <c r="C289" s="1" t="s">
        <v>262</v>
      </c>
      <c r="D289" s="1" t="s">
        <v>12</v>
      </c>
      <c r="E289" s="1" t="s">
        <v>12</v>
      </c>
      <c r="F289" s="2">
        <v>1932.0</v>
      </c>
      <c r="G289" s="1" t="s">
        <v>12</v>
      </c>
      <c r="H289" s="1" t="s">
        <v>12</v>
      </c>
      <c r="I289" s="1" t="s">
        <v>12</v>
      </c>
      <c r="J289" s="1" t="s">
        <v>689</v>
      </c>
      <c r="K289" s="1" t="s">
        <v>12</v>
      </c>
      <c r="L289" s="3" t="s">
        <v>12</v>
      </c>
      <c r="M289" s="1" t="s">
        <v>12</v>
      </c>
    </row>
    <row r="290">
      <c r="A290" s="4" t="str">
        <f>hyperlink("http://historiamujeres.es/mujerf.html#FERNNDEZma","Fernández Ramos, María del Rosario")</f>
        <v>Fernández Ramos, María del Rosario</v>
      </c>
      <c r="B290" s="1" t="s">
        <v>690</v>
      </c>
      <c r="C290" s="1" t="s">
        <v>27</v>
      </c>
      <c r="D290" s="1" t="s">
        <v>68</v>
      </c>
      <c r="E290" s="1" t="s">
        <v>12</v>
      </c>
      <c r="F290" s="2">
        <v>1755.0</v>
      </c>
      <c r="G290" s="1" t="s">
        <v>12</v>
      </c>
      <c r="H290" s="1">
        <v>1803.0</v>
      </c>
      <c r="I290" s="1" t="s">
        <v>12</v>
      </c>
      <c r="J290" s="1" t="s">
        <v>214</v>
      </c>
      <c r="K290" s="1" t="s">
        <v>691</v>
      </c>
      <c r="L290" s="3" t="s">
        <v>12</v>
      </c>
      <c r="M290" s="1" t="s">
        <v>692</v>
      </c>
    </row>
    <row r="291">
      <c r="A291" s="4" t="str">
        <f>hyperlink("http://historiamujeres.es/mujerf.html#FERNNDEZval","Fernández Valenzuela, Eloisa")</f>
        <v>Fernández Valenzuela, Eloisa</v>
      </c>
      <c r="B291" s="1" t="s">
        <v>12</v>
      </c>
      <c r="C291" s="1" t="s">
        <v>693</v>
      </c>
      <c r="D291" s="1" t="s">
        <v>12</v>
      </c>
      <c r="E291" s="1" t="s">
        <v>24</v>
      </c>
      <c r="F291" s="2">
        <v>1942.0</v>
      </c>
      <c r="G291" s="1" t="s">
        <v>12</v>
      </c>
      <c r="H291" s="1" t="s">
        <v>12</v>
      </c>
      <c r="I291" s="1" t="s">
        <v>12</v>
      </c>
      <c r="J291" s="1" t="s">
        <v>171</v>
      </c>
      <c r="K291" s="1" t="s">
        <v>12</v>
      </c>
      <c r="L291" s="3" t="s">
        <v>12</v>
      </c>
      <c r="M291" s="1" t="s">
        <v>12</v>
      </c>
    </row>
    <row r="292">
      <c r="A292" s="4" t="str">
        <f>hyperlink("http://historiamujeres.es/mujers.html#Serneta","Fernández Vargas, Mercedes")</f>
        <v>Fernández Vargas, Mercedes</v>
      </c>
      <c r="B292" s="1" t="s">
        <v>694</v>
      </c>
      <c r="C292" s="1" t="s">
        <v>262</v>
      </c>
      <c r="D292" s="1" t="s">
        <v>684</v>
      </c>
      <c r="E292" s="1" t="s">
        <v>12</v>
      </c>
      <c r="F292" s="2">
        <v>1840.0</v>
      </c>
      <c r="G292" s="1" t="s">
        <v>12</v>
      </c>
      <c r="H292" s="1">
        <v>1912.0</v>
      </c>
      <c r="I292" s="1" t="s">
        <v>12</v>
      </c>
      <c r="J292" s="1" t="s">
        <v>69</v>
      </c>
      <c r="K292" s="1" t="s">
        <v>12</v>
      </c>
      <c r="L292" s="3" t="s">
        <v>12</v>
      </c>
      <c r="M292" s="1" t="s">
        <v>695</v>
      </c>
    </row>
    <row r="293">
      <c r="A293" s="4" t="str">
        <f>hyperlink("http://historiamujeres.es/mujerf.html#fernndezch","Fernández-Chicarro y de Dios, Concepción")</f>
        <v>Fernández-Chicarro y de Dios, Concepción</v>
      </c>
      <c r="B293" s="1" t="s">
        <v>12</v>
      </c>
      <c r="C293" s="1" t="s">
        <v>696</v>
      </c>
      <c r="D293" s="1" t="s">
        <v>27</v>
      </c>
      <c r="E293" s="1" t="s">
        <v>12</v>
      </c>
      <c r="F293" s="2">
        <v>1916.0</v>
      </c>
      <c r="G293" s="1" t="s">
        <v>12</v>
      </c>
      <c r="H293" s="1">
        <v>1979.0</v>
      </c>
      <c r="I293" s="1" t="s">
        <v>12</v>
      </c>
      <c r="J293" s="1" t="s">
        <v>697</v>
      </c>
      <c r="K293" s="1" t="s">
        <v>698</v>
      </c>
      <c r="L293" s="3" t="s">
        <v>12</v>
      </c>
      <c r="M293" s="1" t="s">
        <v>699</v>
      </c>
    </row>
    <row r="294">
      <c r="A294" s="4" t="str">
        <f>hyperlink("http://historiamujeres.es/mujere.html#Encarnacion","Fernández, Encarnación")</f>
        <v>Fernández, Encarnación</v>
      </c>
      <c r="B294" s="1" t="s">
        <v>12</v>
      </c>
      <c r="C294" s="1" t="s">
        <v>700</v>
      </c>
      <c r="D294" s="1" t="s">
        <v>12</v>
      </c>
      <c r="E294" s="1" t="s">
        <v>701</v>
      </c>
      <c r="F294" s="2">
        <v>1951.0</v>
      </c>
      <c r="G294" s="1" t="s">
        <v>12</v>
      </c>
      <c r="H294" s="1" t="s">
        <v>12</v>
      </c>
      <c r="I294" s="1" t="s">
        <v>12</v>
      </c>
      <c r="J294" s="1" t="s">
        <v>702</v>
      </c>
      <c r="K294" s="1" t="s">
        <v>12</v>
      </c>
      <c r="L294" s="3" t="s">
        <v>12</v>
      </c>
      <c r="M294" s="1" t="s">
        <v>12</v>
      </c>
    </row>
    <row r="295">
      <c r="A295" s="4" t="str">
        <f>hyperlink("http://historiamujeres.es/mujere.html#Esperanza","Fernández, Esperanza")</f>
        <v>Fernández, Esperanza</v>
      </c>
      <c r="B295" s="1" t="s">
        <v>12</v>
      </c>
      <c r="C295" s="1" t="s">
        <v>361</v>
      </c>
      <c r="D295" s="1" t="s">
        <v>12</v>
      </c>
      <c r="E295" s="1" t="s">
        <v>12</v>
      </c>
      <c r="F295" s="2">
        <v>1966.0</v>
      </c>
      <c r="G295" s="1" t="s">
        <v>12</v>
      </c>
      <c r="H295" s="1" t="s">
        <v>12</v>
      </c>
      <c r="I295" s="1" t="s">
        <v>12</v>
      </c>
      <c r="J295" s="1" t="s">
        <v>69</v>
      </c>
      <c r="K295" s="1" t="s">
        <v>12</v>
      </c>
      <c r="L295" s="3" t="s">
        <v>12</v>
      </c>
      <c r="M295" s="1" t="s">
        <v>12</v>
      </c>
    </row>
    <row r="296">
      <c r="A296" s="4" t="str">
        <f>hyperlink("http://historiamujeres.es/mujerf.html#Ferreras","Ferreras, Esperanza")</f>
        <v>Ferreras, Esperanza</v>
      </c>
      <c r="B296" s="9" t="s">
        <v>12</v>
      </c>
      <c r="C296" s="9" t="s">
        <v>12</v>
      </c>
      <c r="D296" s="9" t="s">
        <v>12</v>
      </c>
      <c r="E296" s="30" t="s">
        <v>85</v>
      </c>
      <c r="F296" s="12">
        <v>1870.0</v>
      </c>
      <c r="G296" s="13" t="s">
        <v>43</v>
      </c>
      <c r="H296" s="13">
        <v>1940.0</v>
      </c>
      <c r="I296" s="9">
        <v>1910.0</v>
      </c>
      <c r="J296" s="9" t="s">
        <v>59</v>
      </c>
      <c r="K296" s="9" t="s">
        <v>12</v>
      </c>
      <c r="L296" s="14" t="s">
        <v>12</v>
      </c>
      <c r="M296" s="9" t="s">
        <v>12</v>
      </c>
    </row>
    <row r="297">
      <c r="A297" s="4" t="str">
        <f>hyperlink("http://historiamujeres.es/mujerf.html#Fitz","Fitz-James Stuart y de Silva, María del Rosario Cayetana")</f>
        <v>Fitz-James Stuart y de Silva, María del Rosario Cayetana</v>
      </c>
      <c r="B297" s="1" t="s">
        <v>703</v>
      </c>
      <c r="C297" s="1" t="s">
        <v>68</v>
      </c>
      <c r="D297" s="1" t="s">
        <v>12</v>
      </c>
      <c r="E297" s="1" t="s">
        <v>12</v>
      </c>
      <c r="F297" s="2">
        <v>1926.0</v>
      </c>
      <c r="G297" s="1" t="s">
        <v>12</v>
      </c>
      <c r="H297" s="1" t="s">
        <v>12</v>
      </c>
      <c r="I297" s="1" t="s">
        <v>12</v>
      </c>
      <c r="J297" s="1" t="s">
        <v>704</v>
      </c>
      <c r="K297" s="1" t="s">
        <v>12</v>
      </c>
      <c r="L297" s="3" t="s">
        <v>12</v>
      </c>
      <c r="M297" s="1" t="s">
        <v>705</v>
      </c>
    </row>
    <row r="298">
      <c r="A298" s="4" t="str">
        <f>hyperlink("http://historiamujeres.es/mujerf.html#FLORA","Flora")</f>
        <v>Flora</v>
      </c>
      <c r="B298" s="1" t="s">
        <v>706</v>
      </c>
      <c r="C298" s="1" t="s">
        <v>24</v>
      </c>
      <c r="D298" s="1" t="s">
        <v>24</v>
      </c>
      <c r="E298" s="1" t="s">
        <v>12</v>
      </c>
      <c r="F298" s="5">
        <v>825.0</v>
      </c>
      <c r="G298" s="6" t="s">
        <v>17</v>
      </c>
      <c r="H298" s="1">
        <v>851.0</v>
      </c>
      <c r="I298" s="1" t="s">
        <v>12</v>
      </c>
      <c r="J298" s="1" t="s">
        <v>441</v>
      </c>
      <c r="K298" s="1" t="s">
        <v>12</v>
      </c>
      <c r="L298" s="3" t="s">
        <v>12</v>
      </c>
      <c r="M298" s="1" t="s">
        <v>72</v>
      </c>
    </row>
    <row r="299">
      <c r="A299" s="4" t="str">
        <f>hyperlink("http://historiamujeres.es/mujerf.html#FLORENTINA","Florentina, Santa")</f>
        <v>Florentina, Santa</v>
      </c>
      <c r="B299" s="1" t="s">
        <v>12</v>
      </c>
      <c r="C299" s="1" t="s">
        <v>449</v>
      </c>
      <c r="D299" s="1" t="s">
        <v>27</v>
      </c>
      <c r="E299" s="1" t="s">
        <v>12</v>
      </c>
      <c r="F299" s="5">
        <v>550.0</v>
      </c>
      <c r="G299" s="6" t="s">
        <v>17</v>
      </c>
      <c r="H299" s="1">
        <v>633.0</v>
      </c>
      <c r="I299" s="1" t="s">
        <v>12</v>
      </c>
      <c r="J299" s="1" t="s">
        <v>707</v>
      </c>
      <c r="K299" s="1" t="s">
        <v>12</v>
      </c>
      <c r="L299" s="3" t="s">
        <v>12</v>
      </c>
      <c r="M299" s="1" t="s">
        <v>708</v>
      </c>
    </row>
    <row r="300">
      <c r="A300" s="4" t="str">
        <f>hyperlink("http://historiamujeres.es/mujerc.html#Chunga","Flores Amaya, Micaela")</f>
        <v>Flores Amaya, Micaela</v>
      </c>
      <c r="B300" s="1" t="s">
        <v>709</v>
      </c>
      <c r="C300" s="1" t="s">
        <v>710</v>
      </c>
      <c r="D300" s="1" t="s">
        <v>12</v>
      </c>
      <c r="E300" s="1" t="s">
        <v>146</v>
      </c>
      <c r="F300" s="2">
        <v>1938.0</v>
      </c>
      <c r="G300" s="1" t="s">
        <v>12</v>
      </c>
      <c r="H300" s="1" t="s">
        <v>12</v>
      </c>
      <c r="I300" s="1" t="s">
        <v>12</v>
      </c>
      <c r="J300" s="1" t="s">
        <v>583</v>
      </c>
      <c r="K300" s="1" t="s">
        <v>12</v>
      </c>
      <c r="L300" s="3" t="s">
        <v>12</v>
      </c>
      <c r="M300" s="1" t="s">
        <v>711</v>
      </c>
    </row>
    <row r="301">
      <c r="A301" s="4" t="str">
        <f>hyperlink("http://historiamujeres.es/mujerf.html#FLORESfer","Flores Fernández, María Isabel")</f>
        <v>Flores Fernández, María Isabel</v>
      </c>
      <c r="B301" s="1" t="s">
        <v>12</v>
      </c>
      <c r="C301" s="1" t="s">
        <v>712</v>
      </c>
      <c r="D301" s="1" t="s">
        <v>12</v>
      </c>
      <c r="E301" s="1" t="s">
        <v>24</v>
      </c>
      <c r="F301" s="2">
        <v>1950.0</v>
      </c>
      <c r="G301" s="1" t="s">
        <v>12</v>
      </c>
      <c r="H301" s="1" t="s">
        <v>12</v>
      </c>
      <c r="I301" s="1" t="s">
        <v>12</v>
      </c>
      <c r="J301" s="1" t="s">
        <v>171</v>
      </c>
      <c r="K301" s="1" t="s">
        <v>59</v>
      </c>
      <c r="L301" s="3" t="s">
        <v>12</v>
      </c>
      <c r="M301" s="1" t="s">
        <v>12</v>
      </c>
    </row>
    <row r="302">
      <c r="A302" s="4" t="str">
        <f>hyperlink("http://historiamujeres.es/mujerf.html#FLORESmari","Flores González, Josefá")</f>
        <v>Flores González, Josefá</v>
      </c>
      <c r="B302" s="1" t="s">
        <v>713</v>
      </c>
      <c r="C302" s="1" t="s">
        <v>98</v>
      </c>
      <c r="D302" s="1" t="s">
        <v>12</v>
      </c>
      <c r="E302" s="1" t="s">
        <v>12</v>
      </c>
      <c r="F302" s="2">
        <v>1948.0</v>
      </c>
      <c r="G302" s="1" t="s">
        <v>12</v>
      </c>
      <c r="H302" s="1" t="s">
        <v>12</v>
      </c>
      <c r="I302" s="1" t="s">
        <v>12</v>
      </c>
      <c r="J302" s="1" t="s">
        <v>714</v>
      </c>
      <c r="K302" s="1" t="s">
        <v>51</v>
      </c>
      <c r="L302" s="3" t="s">
        <v>12</v>
      </c>
      <c r="M302" s="1" t="s">
        <v>12</v>
      </c>
    </row>
    <row r="303">
      <c r="A303" s="24" t="s">
        <v>715</v>
      </c>
      <c r="B303" s="1" t="s">
        <v>716</v>
      </c>
      <c r="C303" s="1" t="s">
        <v>262</v>
      </c>
      <c r="D303" s="1" t="s">
        <v>68</v>
      </c>
      <c r="E303" s="1" t="s">
        <v>12</v>
      </c>
      <c r="F303" s="2">
        <v>1923.0</v>
      </c>
      <c r="G303" s="1" t="s">
        <v>12</v>
      </c>
      <c r="H303" s="1">
        <v>1995.0</v>
      </c>
      <c r="I303" s="1" t="s">
        <v>12</v>
      </c>
      <c r="J303" s="1" t="s">
        <v>717</v>
      </c>
      <c r="K303" s="1" t="s">
        <v>12</v>
      </c>
      <c r="L303" s="3" t="s">
        <v>12</v>
      </c>
      <c r="M303" s="9" t="s">
        <v>718</v>
      </c>
    </row>
    <row r="304">
      <c r="A304" s="4" t="str">
        <f>hyperlink("http://historiamujeres.es/mujerf.html#Formica","Formica Corsi, Mercedes")</f>
        <v>Formica Corsi, Mercedes</v>
      </c>
      <c r="B304" s="1" t="s">
        <v>12</v>
      </c>
      <c r="C304" s="1" t="s">
        <v>205</v>
      </c>
      <c r="D304" s="1" t="s">
        <v>98</v>
      </c>
      <c r="E304" s="1" t="s">
        <v>12</v>
      </c>
      <c r="F304" s="2">
        <v>1916.0</v>
      </c>
      <c r="G304" s="1" t="s">
        <v>12</v>
      </c>
      <c r="H304" s="1">
        <v>2002.0</v>
      </c>
      <c r="I304" s="1" t="s">
        <v>12</v>
      </c>
      <c r="J304" s="1" t="s">
        <v>81</v>
      </c>
      <c r="K304" s="1" t="s">
        <v>113</v>
      </c>
      <c r="L304" s="3" t="s">
        <v>719</v>
      </c>
      <c r="M304" s="1" t="s">
        <v>720</v>
      </c>
    </row>
    <row r="305">
      <c r="A305" s="4" t="str">
        <f>hyperlink("http://historiamujeres.es/mujerf.html#Frnces_M","Francés, María Jerónima")</f>
        <v>Francés, María Jerónima</v>
      </c>
      <c r="B305" s="1" t="s">
        <v>12</v>
      </c>
      <c r="C305" s="1" t="s">
        <v>721</v>
      </c>
      <c r="D305" s="1" t="s">
        <v>722</v>
      </c>
      <c r="E305" s="1" t="s">
        <v>12</v>
      </c>
      <c r="F305" s="5">
        <v>1810.0</v>
      </c>
      <c r="G305" s="6" t="s">
        <v>17</v>
      </c>
      <c r="H305" s="1">
        <v>1832.0</v>
      </c>
      <c r="I305" s="1" t="s">
        <v>12</v>
      </c>
      <c r="J305" s="1" t="s">
        <v>723</v>
      </c>
      <c r="K305" s="1" t="s">
        <v>12</v>
      </c>
      <c r="L305" s="3" t="s">
        <v>12</v>
      </c>
      <c r="M305" s="1" t="s">
        <v>724</v>
      </c>
    </row>
    <row r="306">
      <c r="A306" s="4" t="str">
        <f>hyperlink("http://historiamujeres.es/mujerf.html#FRANCISCANAScla","Franciscanas Clarisas")</f>
        <v>Franciscanas Clarisas</v>
      </c>
      <c r="B306" s="1" t="s">
        <v>12</v>
      </c>
      <c r="C306" s="1" t="s">
        <v>725</v>
      </c>
      <c r="D306" s="1" t="s">
        <v>12</v>
      </c>
      <c r="E306" s="1" t="s">
        <v>726</v>
      </c>
      <c r="F306" s="2">
        <v>1235.0</v>
      </c>
      <c r="G306" s="1" t="s">
        <v>12</v>
      </c>
      <c r="H306" s="1" t="s">
        <v>12</v>
      </c>
      <c r="I306" s="1" t="s">
        <v>12</v>
      </c>
      <c r="J306" s="1" t="s">
        <v>228</v>
      </c>
      <c r="K306" s="1" t="s">
        <v>12</v>
      </c>
      <c r="L306" s="3" t="s">
        <v>12</v>
      </c>
      <c r="M306" s="1" t="s">
        <v>727</v>
      </c>
    </row>
    <row r="307">
      <c r="A307" s="4" t="str">
        <f>hyperlink("http://historiamujeres.es/mujerf.html#FRANCISCANASsa","Franciscanas de los Sagrados Corazones")</f>
        <v>Franciscanas de los Sagrados Corazones</v>
      </c>
      <c r="B307" s="1" t="s">
        <v>12</v>
      </c>
      <c r="C307" s="1" t="s">
        <v>255</v>
      </c>
      <c r="D307" s="1" t="s">
        <v>12</v>
      </c>
      <c r="E307" s="1" t="s">
        <v>12</v>
      </c>
      <c r="F307" s="2">
        <v>1884.0</v>
      </c>
      <c r="G307" s="1" t="s">
        <v>12</v>
      </c>
      <c r="H307" s="1" t="s">
        <v>12</v>
      </c>
      <c r="I307" s="1" t="s">
        <v>12</v>
      </c>
      <c r="J307" s="1" t="s">
        <v>228</v>
      </c>
      <c r="K307" s="1" t="s">
        <v>728</v>
      </c>
      <c r="L307" s="3" t="s">
        <v>12</v>
      </c>
      <c r="M307" s="1" t="s">
        <v>729</v>
      </c>
    </row>
    <row r="308">
      <c r="A308" s="4" t="str">
        <f>hyperlink("http://historiamujeres.es/mujerf.html#FRANCISCANASreb","Franciscanas del Rebaño de María")</f>
        <v>Franciscanas del Rebaño de María</v>
      </c>
      <c r="B308" s="1" t="s">
        <v>12</v>
      </c>
      <c r="C308" s="1" t="s">
        <v>205</v>
      </c>
      <c r="D308" s="1" t="s">
        <v>12</v>
      </c>
      <c r="E308" s="1" t="s">
        <v>12</v>
      </c>
      <c r="F308" s="2">
        <v>1878.0</v>
      </c>
      <c r="G308" s="1" t="s">
        <v>12</v>
      </c>
      <c r="H308" s="1" t="s">
        <v>12</v>
      </c>
      <c r="I308" s="1" t="s">
        <v>12</v>
      </c>
      <c r="J308" s="1" t="s">
        <v>228</v>
      </c>
      <c r="K308" s="1" t="s">
        <v>730</v>
      </c>
      <c r="L308" s="3" t="s">
        <v>12</v>
      </c>
      <c r="M308" s="1" t="s">
        <v>729</v>
      </c>
    </row>
    <row r="309">
      <c r="A309" s="4" t="str">
        <f>hyperlink("http://historiamujeres.es/mujerf.html#Franco","Franco Ladrón de Guevara, Ana María")</f>
        <v>Franco Ladrón de Guevara, Ana María</v>
      </c>
      <c r="B309" s="9" t="s">
        <v>731</v>
      </c>
      <c r="C309" s="1" t="s">
        <v>732</v>
      </c>
      <c r="D309" s="1" t="s">
        <v>26</v>
      </c>
      <c r="E309" s="1" t="s">
        <v>12</v>
      </c>
      <c r="F309" s="2">
        <v>1832.0</v>
      </c>
      <c r="G309" s="1" t="s">
        <v>12</v>
      </c>
      <c r="H309" s="1">
        <v>1872.0</v>
      </c>
      <c r="I309" s="1" t="s">
        <v>12</v>
      </c>
      <c r="J309" s="1" t="s">
        <v>113</v>
      </c>
      <c r="K309" s="1" t="s">
        <v>12</v>
      </c>
      <c r="L309" s="3" t="s">
        <v>12</v>
      </c>
      <c r="M309" s="9" t="s">
        <v>733</v>
      </c>
    </row>
    <row r="310">
      <c r="A310" s="11" t="str">
        <f>hyperlink("http://historiamujeres.es/mujerf.html#FTRE","FTRE, Mujeres anarquistas de la")</f>
        <v>FTRE, Mujeres anarquistas de la</v>
      </c>
      <c r="B310" s="9" t="s">
        <v>12</v>
      </c>
      <c r="C310" s="9" t="s">
        <v>734</v>
      </c>
      <c r="D310" s="9" t="s">
        <v>12</v>
      </c>
      <c r="E310" s="9" t="s">
        <v>12</v>
      </c>
      <c r="F310" s="12">
        <v>1850.0</v>
      </c>
      <c r="G310" s="13" t="s">
        <v>43</v>
      </c>
      <c r="H310" s="13">
        <v>1910.0</v>
      </c>
      <c r="I310" s="9">
        <v>1982.0</v>
      </c>
      <c r="J310" s="9" t="s">
        <v>147</v>
      </c>
      <c r="K310" s="9" t="s">
        <v>80</v>
      </c>
      <c r="L310" s="14" t="s">
        <v>735</v>
      </c>
      <c r="M310" s="1"/>
    </row>
    <row r="311">
      <c r="A311" s="7" t="str">
        <f>hyperlink("http://historiamujeres.es/mujerf.html#Fuentes_V","Fuentes Vázquez, Tadea")</f>
        <v>Fuentes Vázquez, Tadea</v>
      </c>
      <c r="B311" s="1" t="s">
        <v>12</v>
      </c>
      <c r="C311" s="9" t="s">
        <v>736</v>
      </c>
      <c r="D311" s="9" t="s">
        <v>30</v>
      </c>
      <c r="E311" s="1" t="s">
        <v>12</v>
      </c>
      <c r="F311" s="13">
        <v>1928.0</v>
      </c>
      <c r="G311" s="13" t="s">
        <v>43</v>
      </c>
      <c r="H311" s="13">
        <v>2002.0</v>
      </c>
      <c r="I311" s="1" t="s">
        <v>12</v>
      </c>
      <c r="J311" s="9" t="s">
        <v>737</v>
      </c>
      <c r="K311" s="9" t="s">
        <v>113</v>
      </c>
      <c r="L311" s="3" t="s">
        <v>12</v>
      </c>
      <c r="M311" s="9" t="s">
        <v>738</v>
      </c>
    </row>
    <row r="312">
      <c r="A312" s="4" t="str">
        <f>hyperlink("http://historiamujeres.es/mujerf.html#FUENTES","Fuentes, María de los Reyes")</f>
        <v>Fuentes, María de los Reyes</v>
      </c>
      <c r="B312" s="1" t="s">
        <v>12</v>
      </c>
      <c r="C312" s="1" t="s">
        <v>27</v>
      </c>
      <c r="D312" s="1" t="s">
        <v>12</v>
      </c>
      <c r="E312" s="1" t="s">
        <v>12</v>
      </c>
      <c r="F312" s="2">
        <v>1927.0</v>
      </c>
      <c r="G312" s="1" t="s">
        <v>12</v>
      </c>
      <c r="H312" s="1" t="s">
        <v>12</v>
      </c>
      <c r="I312" s="1" t="s">
        <v>12</v>
      </c>
      <c r="J312" s="1" t="s">
        <v>187</v>
      </c>
      <c r="K312" s="1" t="s">
        <v>12</v>
      </c>
      <c r="L312" s="3" t="s">
        <v>12</v>
      </c>
      <c r="M312" s="1" t="s">
        <v>739</v>
      </c>
    </row>
    <row r="313">
      <c r="A313" s="4" t="str">
        <f>hyperlink("http://historiamujeres.es/mujerf.html#Fundadoras","Fundadoras de Buenos Aires")</f>
        <v>Fundadoras de Buenos Aires</v>
      </c>
      <c r="B313" s="1" t="s">
        <v>12</v>
      </c>
      <c r="C313" s="1" t="s">
        <v>146</v>
      </c>
      <c r="D313" s="1" t="s">
        <v>12</v>
      </c>
      <c r="E313" s="1" t="s">
        <v>740</v>
      </c>
      <c r="F313" s="2">
        <v>1536.0</v>
      </c>
      <c r="G313" s="1" t="s">
        <v>12</v>
      </c>
      <c r="H313" s="1" t="s">
        <v>12</v>
      </c>
      <c r="I313" s="1" t="s">
        <v>12</v>
      </c>
      <c r="J313" s="1" t="s">
        <v>741</v>
      </c>
      <c r="K313" s="1" t="s">
        <v>12</v>
      </c>
      <c r="L313" s="3" t="s">
        <v>12</v>
      </c>
      <c r="M313" s="1" t="s">
        <v>12</v>
      </c>
    </row>
    <row r="314">
      <c r="A314" s="4" t="str">
        <f>hyperlink("http://historiamujeres.es/mujerg.html#Gaditanas","Gaditanas de la antigüedad, Bailarinas")</f>
        <v>Gaditanas de la antigüedad, Bailarinas</v>
      </c>
      <c r="B314" s="1" t="s">
        <v>12</v>
      </c>
      <c r="C314" s="1" t="s">
        <v>205</v>
      </c>
      <c r="D314" s="1" t="s">
        <v>12</v>
      </c>
      <c r="E314" s="1" t="s">
        <v>535</v>
      </c>
      <c r="F314" s="5">
        <v>25.0</v>
      </c>
      <c r="G314" s="6" t="s">
        <v>43</v>
      </c>
      <c r="H314" s="6">
        <v>100.0</v>
      </c>
      <c r="I314" s="1" t="s">
        <v>12</v>
      </c>
      <c r="J314" s="1" t="s">
        <v>742</v>
      </c>
      <c r="K314" s="1" t="s">
        <v>12</v>
      </c>
      <c r="L314" s="3" t="s">
        <v>12</v>
      </c>
      <c r="M314" s="1" t="s">
        <v>40</v>
      </c>
    </row>
    <row r="315">
      <c r="A315" s="4" t="str">
        <f>hyperlink("http://historiamujeres.es/mujerg.html#Galan_Soldevilla","Galán Soldevilla, Carmen")</f>
        <v>Galán Soldevilla, Carmen</v>
      </c>
      <c r="B315" s="1" t="s">
        <v>12</v>
      </c>
      <c r="C315" s="1" t="s">
        <v>24</v>
      </c>
      <c r="D315" s="1" t="s">
        <v>12</v>
      </c>
      <c r="E315" s="1" t="s">
        <v>12</v>
      </c>
      <c r="F315" s="2">
        <v>1958.0</v>
      </c>
      <c r="G315" s="1" t="s">
        <v>12</v>
      </c>
      <c r="H315" s="1" t="s">
        <v>12</v>
      </c>
      <c r="I315" s="1" t="s">
        <v>12</v>
      </c>
      <c r="J315" s="1" t="s">
        <v>208</v>
      </c>
      <c r="K315" s="1" t="s">
        <v>12</v>
      </c>
      <c r="L315" s="3" t="s">
        <v>12</v>
      </c>
      <c r="M315" s="1" t="s">
        <v>743</v>
      </c>
    </row>
    <row r="316">
      <c r="A316" s="4" t="str">
        <f>hyperlink("http://historiamujeres.es/mujerg.html#Galera","Galera, Dama de")</f>
        <v>Galera, Dama de</v>
      </c>
      <c r="B316" s="1" t="s">
        <v>12</v>
      </c>
      <c r="C316" s="1" t="s">
        <v>744</v>
      </c>
      <c r="D316" s="1" t="s">
        <v>12</v>
      </c>
      <c r="E316" s="1" t="s">
        <v>12</v>
      </c>
      <c r="F316" s="5">
        <v>-475.0</v>
      </c>
      <c r="G316" s="6" t="s">
        <v>43</v>
      </c>
      <c r="H316" s="6">
        <v>-425.0</v>
      </c>
      <c r="I316" s="1" t="s">
        <v>12</v>
      </c>
      <c r="J316" s="1" t="s">
        <v>224</v>
      </c>
      <c r="K316" s="1" t="s">
        <v>745</v>
      </c>
      <c r="L316" s="3" t="s">
        <v>12</v>
      </c>
      <c r="M316" s="1" t="s">
        <v>746</v>
      </c>
    </row>
    <row r="317">
      <c r="A317" s="4" t="str">
        <f>hyperlink("http://historiamujeres.es/mujerg.html#Galiana","Galiana Medina, María")</f>
        <v>Galiana Medina, María</v>
      </c>
      <c r="B317" s="1" t="s">
        <v>12</v>
      </c>
      <c r="C317" s="1" t="s">
        <v>27</v>
      </c>
      <c r="D317" s="1" t="s">
        <v>12</v>
      </c>
      <c r="E317" s="1" t="s">
        <v>12</v>
      </c>
      <c r="F317" s="2">
        <v>1925.0</v>
      </c>
      <c r="G317" s="1" t="s">
        <v>12</v>
      </c>
      <c r="H317" s="1" t="s">
        <v>12</v>
      </c>
      <c r="I317" s="1" t="s">
        <v>12</v>
      </c>
      <c r="J317" s="1" t="s">
        <v>214</v>
      </c>
      <c r="K317" s="1" t="s">
        <v>747</v>
      </c>
      <c r="L317" s="3" t="s">
        <v>12</v>
      </c>
      <c r="M317" s="9" t="s">
        <v>748</v>
      </c>
    </row>
    <row r="318">
      <c r="A318" s="4" t="str">
        <f>hyperlink("http://historiamujeres.es/mujerg.html#Gallego","Gallego Domínguez, Maria")</f>
        <v>Gallego Domínguez, Maria</v>
      </c>
      <c r="B318" s="1" t="s">
        <v>12</v>
      </c>
      <c r="C318" s="1" t="s">
        <v>24</v>
      </c>
      <c r="D318" s="1" t="s">
        <v>12</v>
      </c>
      <c r="E318" s="1" t="s">
        <v>12</v>
      </c>
      <c r="F318" s="5">
        <v>1965.0</v>
      </c>
      <c r="G318" s="6" t="s">
        <v>17</v>
      </c>
      <c r="H318" s="1" t="s">
        <v>12</v>
      </c>
      <c r="I318" s="1" t="s">
        <v>12</v>
      </c>
      <c r="J318" s="1" t="s">
        <v>408</v>
      </c>
      <c r="K318" s="1" t="s">
        <v>12</v>
      </c>
      <c r="L318" s="3" t="s">
        <v>12</v>
      </c>
      <c r="M318" s="1" t="s">
        <v>320</v>
      </c>
    </row>
    <row r="319">
      <c r="A319" s="4" t="str">
        <f>hyperlink("http://historiamujeres.es/mujerp.html#Profesoras","Galluzo, Eloisa")</f>
        <v>Galluzo, Eloisa</v>
      </c>
      <c r="B319" s="1" t="s">
        <v>12</v>
      </c>
      <c r="C319" s="1" t="s">
        <v>12</v>
      </c>
      <c r="D319" s="1" t="s">
        <v>12</v>
      </c>
      <c r="E319" s="1" t="s">
        <v>205</v>
      </c>
      <c r="F319" s="5">
        <v>1865.0</v>
      </c>
      <c r="G319" s="6" t="s">
        <v>43</v>
      </c>
      <c r="H319" s="6">
        <v>1915.0</v>
      </c>
      <c r="I319" s="1" t="s">
        <v>12</v>
      </c>
      <c r="J319" s="1" t="s">
        <v>749</v>
      </c>
      <c r="K319" s="1" t="s">
        <v>12</v>
      </c>
      <c r="L319" s="3" t="s">
        <v>12</v>
      </c>
      <c r="M319" s="1" t="s">
        <v>750</v>
      </c>
    </row>
    <row r="320">
      <c r="A320" s="24" t="s">
        <v>751</v>
      </c>
      <c r="B320" s="9" t="s">
        <v>12</v>
      </c>
      <c r="C320" s="9" t="s">
        <v>296</v>
      </c>
      <c r="D320" s="9" t="s">
        <v>12</v>
      </c>
      <c r="E320" s="9" t="s">
        <v>12</v>
      </c>
      <c r="F320" s="9">
        <v>1985.0</v>
      </c>
      <c r="G320" s="8" t="s">
        <v>12</v>
      </c>
      <c r="H320" s="8" t="s">
        <v>12</v>
      </c>
      <c r="I320" s="8" t="s">
        <v>12</v>
      </c>
      <c r="J320" s="9" t="s">
        <v>752</v>
      </c>
      <c r="K320" s="9" t="s">
        <v>12</v>
      </c>
      <c r="L320" s="9" t="s">
        <v>12</v>
      </c>
      <c r="M320" s="8" t="s">
        <v>753</v>
      </c>
    </row>
    <row r="321">
      <c r="A321" s="4" t="str">
        <f>hyperlink("http://historiamujeres.es/mujerg.html#Galvez_R","Gálvez, María Rosa ")</f>
        <v>Gálvez, María Rosa </v>
      </c>
      <c r="B321" s="1" t="s">
        <v>754</v>
      </c>
      <c r="C321" s="1" t="s">
        <v>755</v>
      </c>
      <c r="D321" s="1" t="s">
        <v>68</v>
      </c>
      <c r="E321" s="1" t="s">
        <v>12</v>
      </c>
      <c r="F321" s="2">
        <v>1768.0</v>
      </c>
      <c r="G321" s="1" t="s">
        <v>12</v>
      </c>
      <c r="H321" s="1">
        <v>1806.0</v>
      </c>
      <c r="I321" s="1" t="s">
        <v>12</v>
      </c>
      <c r="J321" s="1" t="s">
        <v>756</v>
      </c>
      <c r="K321" s="1" t="s">
        <v>12</v>
      </c>
      <c r="L321" s="3" t="s">
        <v>12</v>
      </c>
      <c r="M321" s="1" t="s">
        <v>12</v>
      </c>
    </row>
    <row r="322">
      <c r="A322" s="24" t="s">
        <v>757</v>
      </c>
      <c r="B322" s="36" t="s">
        <v>758</v>
      </c>
      <c r="C322" s="9" t="s">
        <v>26</v>
      </c>
      <c r="D322" s="9" t="s">
        <v>759</v>
      </c>
      <c r="E322" s="9" t="s">
        <v>542</v>
      </c>
      <c r="F322" s="15">
        <v>1915.0</v>
      </c>
      <c r="G322" s="9" t="s">
        <v>12</v>
      </c>
      <c r="H322" s="9">
        <v>1977.0</v>
      </c>
      <c r="I322" s="9" t="s">
        <v>12</v>
      </c>
      <c r="J322" s="9" t="s">
        <v>760</v>
      </c>
      <c r="K322" s="9" t="s">
        <v>761</v>
      </c>
      <c r="L322" s="14" t="s">
        <v>762</v>
      </c>
      <c r="M322" s="9" t="s">
        <v>763</v>
      </c>
    </row>
    <row r="323">
      <c r="A323" s="4" t="str">
        <f>hyperlink("http://historiamujeres.es/mujerg.html#Garc%EDa-con","García , Concha")</f>
        <v>García , Concha</v>
      </c>
      <c r="B323" s="1" t="s">
        <v>12</v>
      </c>
      <c r="C323" s="1" t="s">
        <v>764</v>
      </c>
      <c r="D323" s="1" t="s">
        <v>12</v>
      </c>
      <c r="E323" s="1" t="s">
        <v>12</v>
      </c>
      <c r="F323" s="2">
        <v>1956.0</v>
      </c>
      <c r="G323" s="1" t="s">
        <v>12</v>
      </c>
      <c r="H323" s="1" t="s">
        <v>12</v>
      </c>
      <c r="I323" s="1" t="s">
        <v>12</v>
      </c>
      <c r="J323" s="1" t="s">
        <v>216</v>
      </c>
      <c r="K323" s="1" t="s">
        <v>12</v>
      </c>
      <c r="L323" s="3" t="s">
        <v>12</v>
      </c>
      <c r="M323" s="1" t="s">
        <v>12</v>
      </c>
    </row>
    <row r="324">
      <c r="A324" s="4" t="str">
        <f>hyperlink("http://historiamujeres.es/mujerg.html#Garcia_Luisa","García , Luisa")</f>
        <v>García , Luisa</v>
      </c>
      <c r="B324" s="1" t="s">
        <v>12</v>
      </c>
      <c r="C324" s="1" t="s">
        <v>12</v>
      </c>
      <c r="D324" s="1" t="s">
        <v>12</v>
      </c>
      <c r="E324" s="1" t="s">
        <v>765</v>
      </c>
      <c r="F324" s="5">
        <v>1530.0</v>
      </c>
      <c r="G324" s="6" t="s">
        <v>43</v>
      </c>
      <c r="H324" s="6">
        <v>1600.0</v>
      </c>
      <c r="I324" s="1">
        <v>1583.0</v>
      </c>
      <c r="J324" s="1" t="s">
        <v>204</v>
      </c>
      <c r="K324" s="1" t="s">
        <v>766</v>
      </c>
      <c r="L324" s="3" t="s">
        <v>12</v>
      </c>
      <c r="M324" s="1" t="s">
        <v>12</v>
      </c>
    </row>
    <row r="325">
      <c r="A325" s="4" t="str">
        <f>hyperlink("http://historiamujeres.es/mujerg.html#Garcia_Bardon","García Bardón, Isabel")</f>
        <v>García Bardón, Isabel</v>
      </c>
      <c r="B325" s="1" t="s">
        <v>12</v>
      </c>
      <c r="C325" s="1" t="s">
        <v>767</v>
      </c>
      <c r="D325" s="1" t="s">
        <v>768</v>
      </c>
      <c r="E325" s="1" t="s">
        <v>12</v>
      </c>
      <c r="F325" s="2">
        <v>1940.0</v>
      </c>
      <c r="G325" s="1" t="s">
        <v>12</v>
      </c>
      <c r="H325" s="1" t="s">
        <v>12</v>
      </c>
      <c r="I325" s="1" t="s">
        <v>12</v>
      </c>
      <c r="J325" s="1" t="s">
        <v>526</v>
      </c>
      <c r="K325" s="1" t="s">
        <v>12</v>
      </c>
      <c r="L325" s="3" t="s">
        <v>12</v>
      </c>
      <c r="M325" s="1" t="s">
        <v>36</v>
      </c>
    </row>
    <row r="326">
      <c r="A326" s="4" t="str">
        <f>hyperlink("http://historiamujeres.es/mujerg.html#Garcia_Cano","García Cano,  Amparo")</f>
        <v>García Cano,  Amparo</v>
      </c>
      <c r="B326" s="1" t="s">
        <v>12</v>
      </c>
      <c r="C326" s="1" t="s">
        <v>12</v>
      </c>
      <c r="D326" s="1" t="s">
        <v>205</v>
      </c>
      <c r="E326" s="1" t="s">
        <v>12</v>
      </c>
      <c r="F326" s="16">
        <v>1912.0</v>
      </c>
      <c r="G326" s="17" t="s">
        <v>12</v>
      </c>
      <c r="H326" s="1">
        <v>1936.0</v>
      </c>
      <c r="I326" s="1" t="s">
        <v>12</v>
      </c>
      <c r="J326" s="1" t="s">
        <v>299</v>
      </c>
      <c r="K326" s="1" t="s">
        <v>300</v>
      </c>
      <c r="L326" s="3" t="s">
        <v>301</v>
      </c>
      <c r="M326" s="1" t="s">
        <v>12</v>
      </c>
    </row>
    <row r="327">
      <c r="A327" s="4" t="str">
        <f>hyperlink("http://historiamujeres.es/mujerg.html#Garcia_de_c","García de Castro, Carmen")</f>
        <v>García de Castro, Carmen</v>
      </c>
      <c r="B327" s="1" t="s">
        <v>12</v>
      </c>
      <c r="C327" s="1" t="s">
        <v>769</v>
      </c>
      <c r="D327" s="1" t="s">
        <v>12</v>
      </c>
      <c r="E327" s="1" t="s">
        <v>770</v>
      </c>
      <c r="F327" s="2">
        <v>1886.0</v>
      </c>
      <c r="G327" s="1" t="s">
        <v>12</v>
      </c>
      <c r="H327" s="1">
        <v>1969.0</v>
      </c>
      <c r="I327" s="1" t="s">
        <v>12</v>
      </c>
      <c r="J327" s="1" t="s">
        <v>771</v>
      </c>
      <c r="K327" s="1" t="s">
        <v>772</v>
      </c>
      <c r="L327" s="3" t="s">
        <v>773</v>
      </c>
      <c r="M327" s="1" t="s">
        <v>12</v>
      </c>
    </row>
    <row r="328">
      <c r="A328" s="4" t="str">
        <f>hyperlink("http://historiamujeres.es/mujerg.html#GRCIAmor","García del Moral y Mora, María José")</f>
        <v>García del Moral y Mora, María José</v>
      </c>
      <c r="B328" s="1" t="s">
        <v>12</v>
      </c>
      <c r="C328" s="1" t="s">
        <v>30</v>
      </c>
      <c r="D328" s="1" t="s">
        <v>12</v>
      </c>
      <c r="E328" s="1" t="s">
        <v>27</v>
      </c>
      <c r="F328" s="2">
        <v>1954.0</v>
      </c>
      <c r="G328" s="1" t="s">
        <v>12</v>
      </c>
      <c r="H328" s="1" t="s">
        <v>12</v>
      </c>
      <c r="I328" s="1" t="s">
        <v>12</v>
      </c>
      <c r="J328" s="1" t="s">
        <v>65</v>
      </c>
      <c r="K328" s="1" t="s">
        <v>774</v>
      </c>
      <c r="L328" s="3" t="s">
        <v>12</v>
      </c>
      <c r="M328" s="1" t="s">
        <v>12</v>
      </c>
    </row>
    <row r="329">
      <c r="A329" s="4" t="str">
        <f>hyperlink("http://historiamujeres.es/mujerg.html#GARCIAga","García Galisteo,Carmen")</f>
        <v>García Galisteo,Carmen</v>
      </c>
      <c r="B329" s="1" t="s">
        <v>775</v>
      </c>
      <c r="C329" s="1" t="s">
        <v>27</v>
      </c>
      <c r="D329" s="1" t="s">
        <v>12</v>
      </c>
      <c r="E329" s="1" t="s">
        <v>12</v>
      </c>
      <c r="F329" s="2">
        <v>1930.0</v>
      </c>
      <c r="G329" s="1" t="s">
        <v>12</v>
      </c>
      <c r="H329" s="1" t="s">
        <v>12</v>
      </c>
      <c r="I329" s="1" t="s">
        <v>12</v>
      </c>
      <c r="J329" s="1" t="s">
        <v>776</v>
      </c>
      <c r="K329" s="1" t="s">
        <v>777</v>
      </c>
      <c r="L329" s="3" t="s">
        <v>12</v>
      </c>
      <c r="M329" s="1" t="s">
        <v>12</v>
      </c>
    </row>
    <row r="330">
      <c r="A330" s="7" t="str">
        <f>hyperlink("http://historiamujeres.es/mujerg.html#Garcia_Garcia","García García, Francisca")</f>
        <v>García García, Francisca</v>
      </c>
      <c r="B330" s="9" t="s">
        <v>12</v>
      </c>
      <c r="C330" s="20" t="s">
        <v>778</v>
      </c>
      <c r="D330" s="9" t="s">
        <v>12</v>
      </c>
      <c r="E330" s="9" t="s">
        <v>457</v>
      </c>
      <c r="F330" s="20">
        <v>1912.0</v>
      </c>
      <c r="G330" s="21" t="s">
        <v>12</v>
      </c>
      <c r="H330" s="21" t="s">
        <v>12</v>
      </c>
      <c r="I330" s="9" t="s">
        <v>12</v>
      </c>
      <c r="J330" s="9" t="s">
        <v>779</v>
      </c>
      <c r="K330" s="9" t="s">
        <v>780</v>
      </c>
      <c r="L330" s="19" t="s">
        <v>12</v>
      </c>
      <c r="M330" s="9" t="s">
        <v>781</v>
      </c>
    </row>
    <row r="331">
      <c r="A331" s="11" t="str">
        <f>hyperlink("http://historiamujeres.es/mujerg.html#Garcia_Garcia_Maria_Rosa_","García García, María Rosa")</f>
        <v>García García, María Rosa</v>
      </c>
      <c r="B331" s="9" t="s">
        <v>782</v>
      </c>
      <c r="C331" s="9" t="s">
        <v>191</v>
      </c>
      <c r="D331" s="9" t="s">
        <v>12</v>
      </c>
      <c r="E331" s="9" t="s">
        <v>12</v>
      </c>
      <c r="F331" s="15">
        <v>1978.0</v>
      </c>
      <c r="G331" s="9" t="s">
        <v>12</v>
      </c>
      <c r="H331" s="9" t="s">
        <v>12</v>
      </c>
      <c r="I331" s="9" t="s">
        <v>12</v>
      </c>
      <c r="J331" s="9" t="s">
        <v>783</v>
      </c>
      <c r="K331" s="9" t="s">
        <v>12</v>
      </c>
      <c r="L331" s="3"/>
      <c r="M331" s="9" t="s">
        <v>784</v>
      </c>
    </row>
    <row r="332">
      <c r="A332" s="22" t="str">
        <f>hyperlink("http://historiamujeres.es/mujerg.html#Garcia_Llorente","García LLorente, Ana Isabel")</f>
        <v>García LLorente, Ana Isabel</v>
      </c>
      <c r="B332" s="45" t="s">
        <v>785</v>
      </c>
      <c r="C332" s="9" t="s">
        <v>786</v>
      </c>
      <c r="D332" s="9" t="s">
        <v>68</v>
      </c>
      <c r="F332" s="15">
        <v>1991.0</v>
      </c>
      <c r="G332" s="9" t="s">
        <v>12</v>
      </c>
      <c r="H332" s="9">
        <v>2017.0</v>
      </c>
      <c r="I332" s="1"/>
      <c r="J332" s="9" t="s">
        <v>787</v>
      </c>
      <c r="K332" s="9" t="s">
        <v>788</v>
      </c>
      <c r="L332" s="14" t="s">
        <v>789</v>
      </c>
      <c r="M332" s="9" t="s">
        <v>790</v>
      </c>
    </row>
    <row r="333">
      <c r="A333" s="4" t="str">
        <f>hyperlink("http://historiamujeres.es/mujerg.html#Garcia_martinez","García Martínez, María Dolores")</f>
        <v>García Martínez, María Dolores</v>
      </c>
      <c r="B333" s="1" t="s">
        <v>12</v>
      </c>
      <c r="C333" s="1" t="s">
        <v>24</v>
      </c>
      <c r="D333" s="1" t="s">
        <v>12</v>
      </c>
      <c r="E333" s="1" t="s">
        <v>12</v>
      </c>
      <c r="F333" s="2">
        <v>1965.0</v>
      </c>
      <c r="G333" s="1" t="s">
        <v>12</v>
      </c>
      <c r="H333" s="1" t="s">
        <v>12</v>
      </c>
      <c r="I333" s="1" t="s">
        <v>12</v>
      </c>
      <c r="J333" s="1" t="s">
        <v>791</v>
      </c>
      <c r="K333" s="1" t="s">
        <v>12</v>
      </c>
      <c r="L333" s="3" t="s">
        <v>12</v>
      </c>
      <c r="M333" s="1" t="s">
        <v>792</v>
      </c>
    </row>
    <row r="334">
      <c r="A334" s="4" t="str">
        <f>hyperlink("http://historiamujeres.es/mujerg.html#Garciamo","García Moreno, María Teresa")</f>
        <v>García Moreno, María Teresa</v>
      </c>
      <c r="B334" s="1" t="s">
        <v>12</v>
      </c>
      <c r="C334" s="1" t="s">
        <v>68</v>
      </c>
      <c r="D334" s="1" t="s">
        <v>24</v>
      </c>
      <c r="E334" s="1" t="s">
        <v>793</v>
      </c>
      <c r="F334" s="2">
        <v>1910.0</v>
      </c>
      <c r="G334" s="1" t="s">
        <v>12</v>
      </c>
      <c r="H334" s="1">
        <v>2003.0</v>
      </c>
      <c r="I334" s="1" t="s">
        <v>12</v>
      </c>
      <c r="J334" s="1" t="s">
        <v>794</v>
      </c>
      <c r="K334" s="1" t="s">
        <v>670</v>
      </c>
      <c r="L334" s="3" t="s">
        <v>12</v>
      </c>
      <c r="M334" s="1" t="s">
        <v>795</v>
      </c>
    </row>
    <row r="335">
      <c r="A335" s="4" t="str">
        <f>hyperlink("http://historiamujeres.es/mujerg.html#GarcaO","García Ortiz, Ascensión")</f>
        <v>García Ortiz, Ascensión</v>
      </c>
      <c r="B335" s="1" t="s">
        <v>12</v>
      </c>
      <c r="C335" s="9" t="s">
        <v>27</v>
      </c>
      <c r="D335" s="9" t="s">
        <v>27</v>
      </c>
      <c r="E335" s="1" t="s">
        <v>12</v>
      </c>
      <c r="F335" s="46">
        <v>1960.0</v>
      </c>
      <c r="G335" s="10" t="s">
        <v>12</v>
      </c>
      <c r="H335" s="1">
        <v>1998.0</v>
      </c>
      <c r="I335" s="1" t="s">
        <v>12</v>
      </c>
      <c r="J335" s="1" t="s">
        <v>796</v>
      </c>
      <c r="K335" s="1" t="s">
        <v>12</v>
      </c>
      <c r="L335" s="3" t="s">
        <v>12</v>
      </c>
      <c r="M335" s="1" t="s">
        <v>36</v>
      </c>
    </row>
    <row r="336">
      <c r="A336" s="4" t="str">
        <f>hyperlink("http://historiamujeres.es/mujerg.html#/GarciaPin","García Pineda, Dolores")</f>
        <v>García Pineda, Dolores</v>
      </c>
      <c r="B336" s="1" t="s">
        <v>12</v>
      </c>
      <c r="C336" s="1" t="s">
        <v>205</v>
      </c>
      <c r="D336" s="1" t="s">
        <v>12</v>
      </c>
      <c r="E336" s="1" t="s">
        <v>797</v>
      </c>
      <c r="F336" s="2">
        <v>1916.0</v>
      </c>
      <c r="G336" s="1" t="s">
        <v>12</v>
      </c>
      <c r="H336" s="1" t="s">
        <v>12</v>
      </c>
      <c r="I336" s="1" t="s">
        <v>12</v>
      </c>
      <c r="J336" s="1" t="s">
        <v>798</v>
      </c>
      <c r="K336" s="1" t="s">
        <v>12</v>
      </c>
      <c r="L336" s="3" t="s">
        <v>12</v>
      </c>
      <c r="M336" s="1" t="s">
        <v>799</v>
      </c>
    </row>
    <row r="337">
      <c r="A337" s="4" t="str">
        <f>hyperlink("http://historiamujeres.es/mujerg.html#Garcia_Ramirez","García Ramírez, Francisca")</f>
        <v>García Ramírez, Francisca</v>
      </c>
      <c r="B337" s="1" t="s">
        <v>12</v>
      </c>
      <c r="C337" s="1" t="s">
        <v>722</v>
      </c>
      <c r="D337" s="1" t="s">
        <v>12</v>
      </c>
      <c r="E337" s="1" t="s">
        <v>12</v>
      </c>
      <c r="F337" s="2">
        <v>1962.0</v>
      </c>
      <c r="G337" s="1" t="s">
        <v>12</v>
      </c>
      <c r="H337" s="1" t="s">
        <v>12</v>
      </c>
      <c r="I337" s="1" t="s">
        <v>12</v>
      </c>
      <c r="J337" s="1" t="s">
        <v>800</v>
      </c>
      <c r="K337" s="1" t="s">
        <v>12</v>
      </c>
      <c r="L337" s="3" t="s">
        <v>12</v>
      </c>
      <c r="M337" s="1" t="s">
        <v>801</v>
      </c>
    </row>
    <row r="338">
      <c r="A338" s="4" t="str">
        <f>hyperlink("http://historiamujeres.es/mujerg.html#Garcia_Romero_Maite","García Romero, Maite")</f>
        <v>García Romero, Maite</v>
      </c>
      <c r="B338" s="1" t="s">
        <v>12</v>
      </c>
      <c r="C338" s="1" t="s">
        <v>98</v>
      </c>
      <c r="D338" s="1" t="s">
        <v>12</v>
      </c>
      <c r="E338" s="1" t="s">
        <v>12</v>
      </c>
      <c r="F338" s="2">
        <v>1943.0</v>
      </c>
      <c r="G338" s="1" t="s">
        <v>12</v>
      </c>
      <c r="H338" s="1" t="s">
        <v>12</v>
      </c>
      <c r="I338" s="1" t="s">
        <v>12</v>
      </c>
      <c r="J338" s="1" t="s">
        <v>113</v>
      </c>
      <c r="K338" s="1" t="s">
        <v>12</v>
      </c>
      <c r="L338" s="3" t="s">
        <v>12</v>
      </c>
      <c r="M338" s="1" t="s">
        <v>12</v>
      </c>
    </row>
    <row r="339">
      <c r="A339" s="4" t="str">
        <f>hyperlink("http://historiamujeres.es/mujerg.html#Garc%EDaTo","García Torrecillas, María")</f>
        <v>García Torrecillas, María</v>
      </c>
      <c r="B339" s="1" t="s">
        <v>12</v>
      </c>
      <c r="C339" s="1" t="s">
        <v>802</v>
      </c>
      <c r="D339" s="1" t="s">
        <v>803</v>
      </c>
      <c r="E339" s="1" t="s">
        <v>12</v>
      </c>
      <c r="F339" s="2">
        <v>1917.0</v>
      </c>
      <c r="G339" s="1" t="s">
        <v>12</v>
      </c>
      <c r="H339" s="1">
        <v>2014.0</v>
      </c>
      <c r="I339" s="1" t="s">
        <v>12</v>
      </c>
      <c r="J339" s="1" t="s">
        <v>804</v>
      </c>
      <c r="K339" s="1" t="s">
        <v>805</v>
      </c>
      <c r="L339" s="3" t="s">
        <v>806</v>
      </c>
      <c r="M339" s="1" t="s">
        <v>36</v>
      </c>
    </row>
    <row r="340">
      <c r="A340" s="40" t="str">
        <f>hyperlink("http://historiamujeres.es/mujerg.html#Garcia_Vilches","García Vilches, Antonia")</f>
        <v>García Vilches, Antonia</v>
      </c>
      <c r="B340" s="33" t="s">
        <v>807</v>
      </c>
      <c r="C340" s="33" t="s">
        <v>808</v>
      </c>
      <c r="D340" s="33" t="s">
        <v>809</v>
      </c>
      <c r="E340" s="33" t="s">
        <v>810</v>
      </c>
      <c r="F340" s="32">
        <v>1920.0</v>
      </c>
      <c r="G340" s="33" t="s">
        <v>12</v>
      </c>
      <c r="H340" s="33">
        <v>2022.0</v>
      </c>
      <c r="I340" s="33">
        <v>1945.0</v>
      </c>
      <c r="J340" s="33" t="s">
        <v>811</v>
      </c>
      <c r="K340" s="33" t="s">
        <v>812</v>
      </c>
      <c r="L340" s="41" t="s">
        <v>12</v>
      </c>
      <c r="M340" s="33" t="s">
        <v>813</v>
      </c>
    </row>
    <row r="341">
      <c r="A341" s="4" t="str">
        <f>hyperlink("http://historiamujeres.es/mujerg.html#Garcia_Lorca","García-Lorca, Laura")</f>
        <v>García-Lorca, Laura</v>
      </c>
      <c r="B341" s="1" t="s">
        <v>12</v>
      </c>
      <c r="C341" s="1" t="s">
        <v>814</v>
      </c>
      <c r="D341" s="1" t="s">
        <v>30</v>
      </c>
      <c r="E341" s="1" t="s">
        <v>12</v>
      </c>
      <c r="F341" s="2">
        <v>1954.0</v>
      </c>
      <c r="G341" s="1" t="s">
        <v>12</v>
      </c>
      <c r="H341" s="1" t="s">
        <v>12</v>
      </c>
      <c r="I341" s="1" t="s">
        <v>12</v>
      </c>
      <c r="J341" s="1" t="s">
        <v>815</v>
      </c>
      <c r="K341" s="1" t="s">
        <v>12</v>
      </c>
      <c r="L341" s="3" t="s">
        <v>12</v>
      </c>
      <c r="M341" s="1" t="s">
        <v>816</v>
      </c>
    </row>
    <row r="342">
      <c r="A342" s="11" t="str">
        <f>hyperlink("http://historiamujeres.es/mujerg.html#Malea","García-Malea López, Rosa María")</f>
        <v>García-Malea López, Rosa María</v>
      </c>
      <c r="B342" s="9" t="s">
        <v>12</v>
      </c>
      <c r="C342" s="9" t="s">
        <v>26</v>
      </c>
      <c r="D342" s="9" t="s">
        <v>12</v>
      </c>
      <c r="E342" s="9" t="s">
        <v>12</v>
      </c>
      <c r="F342" s="15">
        <v>1981.0</v>
      </c>
      <c r="G342" s="9" t="s">
        <v>12</v>
      </c>
      <c r="H342" s="9" t="s">
        <v>12</v>
      </c>
      <c r="I342" s="9" t="s">
        <v>12</v>
      </c>
      <c r="J342" s="9" t="s">
        <v>817</v>
      </c>
      <c r="K342" s="9" t="s">
        <v>12</v>
      </c>
      <c r="L342" s="14" t="s">
        <v>12</v>
      </c>
      <c r="M342" s="9" t="s">
        <v>818</v>
      </c>
    </row>
    <row r="343">
      <c r="A343" s="4" t="str">
        <f>hyperlink("http://historiamujeres.es/mujerg.html#Garcia-Ne","García-Negrete Ruiz Zarco, Dolores")</f>
        <v>García-Negrete Ruiz Zarco, Dolores</v>
      </c>
      <c r="B343" s="1" t="s">
        <v>12</v>
      </c>
      <c r="C343" s="1" t="s">
        <v>12</v>
      </c>
      <c r="D343" s="1" t="s">
        <v>64</v>
      </c>
      <c r="E343" s="1" t="s">
        <v>12</v>
      </c>
      <c r="F343" s="5">
        <v>1880.0</v>
      </c>
      <c r="G343" s="6" t="s">
        <v>17</v>
      </c>
      <c r="H343" s="17">
        <v>1940.0</v>
      </c>
      <c r="J343" s="1" t="s">
        <v>127</v>
      </c>
      <c r="K343" s="1" t="s">
        <v>819</v>
      </c>
      <c r="L343" s="3" t="s">
        <v>820</v>
      </c>
      <c r="M343" s="1" t="s">
        <v>12</v>
      </c>
    </row>
    <row r="344">
      <c r="A344" s="4" t="str">
        <f>hyperlink("http://historiamujeres.es/mujerg.html#Garcia_Maria","García, María")</f>
        <v>García, María</v>
      </c>
      <c r="B344" s="1" t="s">
        <v>821</v>
      </c>
      <c r="C344" s="1" t="s">
        <v>12</v>
      </c>
      <c r="D344" s="1" t="s">
        <v>12</v>
      </c>
      <c r="E344" s="1" t="s">
        <v>141</v>
      </c>
      <c r="F344" s="5">
        <v>1780.0</v>
      </c>
      <c r="G344" s="6" t="s">
        <v>43</v>
      </c>
      <c r="H344" s="6">
        <v>1840.0</v>
      </c>
      <c r="I344" s="1">
        <v>1814.0</v>
      </c>
      <c r="J344" s="1" t="s">
        <v>822</v>
      </c>
      <c r="K344" s="1" t="s">
        <v>823</v>
      </c>
      <c r="L344" s="3" t="s">
        <v>12</v>
      </c>
      <c r="M344" s="1" t="s">
        <v>12</v>
      </c>
    </row>
    <row r="345">
      <c r="A345" s="4" t="str">
        <f>hyperlink("http://historiamujeres.es/mujerg.html#GARRIDO","Garrido Conde, María Teresa")</f>
        <v>Garrido Conde, María Teresa</v>
      </c>
      <c r="B345" s="1" t="s">
        <v>12</v>
      </c>
      <c r="C345" s="1" t="s">
        <v>27</v>
      </c>
      <c r="D345" s="1" t="s">
        <v>12</v>
      </c>
      <c r="E345" s="1" t="s">
        <v>12</v>
      </c>
      <c r="F345" s="5">
        <v>1935.0</v>
      </c>
      <c r="G345" s="6" t="s">
        <v>17</v>
      </c>
      <c r="H345" s="1" t="s">
        <v>12</v>
      </c>
      <c r="I345" s="1">
        <v>1965.0</v>
      </c>
      <c r="J345" s="1" t="s">
        <v>304</v>
      </c>
      <c r="K345" s="1" t="s">
        <v>22</v>
      </c>
      <c r="L345" s="3" t="s">
        <v>12</v>
      </c>
      <c r="M345" s="1" t="s">
        <v>12</v>
      </c>
    </row>
    <row r="346">
      <c r="A346" s="4" t="str">
        <f>hyperlink("http://historiamujeres.es/mujerg.html#Garridoga","Garrido García,  Eva María")</f>
        <v>Garrido García,  Eva María</v>
      </c>
      <c r="B346" s="1" t="s">
        <v>824</v>
      </c>
      <c r="C346" s="1" t="s">
        <v>825</v>
      </c>
      <c r="D346" s="1" t="s">
        <v>12</v>
      </c>
      <c r="E346" s="1" t="s">
        <v>30</v>
      </c>
      <c r="F346" s="2">
        <v>1970.0</v>
      </c>
      <c r="G346" s="1" t="s">
        <v>12</v>
      </c>
      <c r="H346" s="1" t="s">
        <v>12</v>
      </c>
      <c r="I346" s="1" t="s">
        <v>12</v>
      </c>
      <c r="J346" s="1" t="s">
        <v>145</v>
      </c>
      <c r="K346" s="1" t="s">
        <v>12</v>
      </c>
      <c r="L346" s="3" t="s">
        <v>12</v>
      </c>
      <c r="M346" s="1" t="s">
        <v>36</v>
      </c>
    </row>
    <row r="347">
      <c r="A347" s="4" t="str">
        <f>hyperlink("http://historiamujeres.es/mujerg.html#Garrido_Tatiana","Garrido Guardia, Tatiana")</f>
        <v>Garrido Guardia, Tatiana</v>
      </c>
      <c r="B347" s="1" t="s">
        <v>826</v>
      </c>
      <c r="C347" s="1" t="s">
        <v>98</v>
      </c>
      <c r="D347" s="1" t="s">
        <v>12</v>
      </c>
      <c r="E347" s="1" t="s">
        <v>30</v>
      </c>
      <c r="F347" s="5">
        <v>1970.0</v>
      </c>
      <c r="G347" s="6" t="s">
        <v>17</v>
      </c>
      <c r="H347" s="1" t="s">
        <v>12</v>
      </c>
      <c r="I347" s="1">
        <v>1985.0</v>
      </c>
      <c r="J347" s="1" t="s">
        <v>145</v>
      </c>
      <c r="K347" s="1" t="s">
        <v>12</v>
      </c>
      <c r="L347" s="3" t="s">
        <v>12</v>
      </c>
      <c r="M347" s="1" t="s">
        <v>12</v>
      </c>
    </row>
    <row r="348">
      <c r="A348" s="7" t="str">
        <f>hyperlink("http://historiamujeres.es/mujerg.html#Garzon","Garzón Casas, Luisa")</f>
        <v>Garzón Casas, Luisa</v>
      </c>
      <c r="B348" s="9" t="s">
        <v>12</v>
      </c>
      <c r="C348" s="9" t="s">
        <v>12</v>
      </c>
      <c r="D348" s="9" t="s">
        <v>12</v>
      </c>
      <c r="E348" s="9" t="s">
        <v>27</v>
      </c>
      <c r="F348" s="12">
        <v>1900.0</v>
      </c>
      <c r="G348" s="13" t="s">
        <v>43</v>
      </c>
      <c r="H348" s="13" t="s">
        <v>12</v>
      </c>
      <c r="I348" s="9">
        <v>1931.0</v>
      </c>
      <c r="J348" s="9" t="s">
        <v>827</v>
      </c>
      <c r="K348" s="9" t="s">
        <v>80</v>
      </c>
      <c r="L348" s="14" t="s">
        <v>828</v>
      </c>
      <c r="M348" s="9" t="s">
        <v>829</v>
      </c>
    </row>
    <row r="349">
      <c r="A349" s="4" t="str">
        <f>hyperlink("http://historiamujeres.es/mujerg.html#GASCo","Gascó Cortés, Tina")</f>
        <v>Gascó Cortés, Tina</v>
      </c>
      <c r="B349" s="1" t="s">
        <v>12</v>
      </c>
      <c r="C349" s="1" t="s">
        <v>27</v>
      </c>
      <c r="D349" s="1" t="s">
        <v>68</v>
      </c>
      <c r="E349" s="1" t="s">
        <v>12</v>
      </c>
      <c r="F349" s="2">
        <v>1913.0</v>
      </c>
      <c r="G349" s="1" t="s">
        <v>12</v>
      </c>
      <c r="H349" s="1">
        <v>1973.0</v>
      </c>
      <c r="I349" s="1" t="s">
        <v>12</v>
      </c>
      <c r="J349" s="1" t="s">
        <v>214</v>
      </c>
      <c r="K349" s="1" t="s">
        <v>12</v>
      </c>
      <c r="L349" s="3" t="s">
        <v>12</v>
      </c>
      <c r="M349" s="1" t="s">
        <v>830</v>
      </c>
    </row>
    <row r="350">
      <c r="A350" s="4" t="str">
        <f>hyperlink("http://historiamujeres.es/mujerg.html#Gassaniya","Gassaniya de Pechina")</f>
        <v>Gassaniya de Pechina</v>
      </c>
      <c r="B350" s="1" t="s">
        <v>831</v>
      </c>
      <c r="C350" s="1" t="s">
        <v>596</v>
      </c>
      <c r="D350" s="1" t="s">
        <v>26</v>
      </c>
      <c r="E350" s="1" t="s">
        <v>12</v>
      </c>
      <c r="F350" s="5">
        <v>990.0</v>
      </c>
      <c r="G350" s="6" t="s">
        <v>17</v>
      </c>
      <c r="H350" s="1" t="s">
        <v>12</v>
      </c>
      <c r="I350" s="1">
        <v>1020.0</v>
      </c>
      <c r="J350" s="1" t="s">
        <v>216</v>
      </c>
      <c r="K350" s="1" t="s">
        <v>12</v>
      </c>
      <c r="L350" s="3" t="s">
        <v>12</v>
      </c>
      <c r="M350" s="1" t="s">
        <v>832</v>
      </c>
    </row>
    <row r="351">
      <c r="A351" s="7" t="s">
        <v>833</v>
      </c>
      <c r="B351" s="8" t="s">
        <v>12</v>
      </c>
      <c r="C351" s="8" t="s">
        <v>834</v>
      </c>
      <c r="D351" s="8" t="s">
        <v>834</v>
      </c>
      <c r="E351" s="8" t="s">
        <v>26</v>
      </c>
      <c r="F351" s="8">
        <v>1926.0</v>
      </c>
      <c r="G351" s="8" t="s">
        <v>12</v>
      </c>
      <c r="H351" s="8">
        <v>2017.0</v>
      </c>
      <c r="I351" s="8" t="s">
        <v>12</v>
      </c>
      <c r="J351" s="9" t="s">
        <v>53</v>
      </c>
      <c r="K351" s="8" t="s">
        <v>835</v>
      </c>
      <c r="L351" s="8" t="s">
        <v>836</v>
      </c>
      <c r="M351" s="8" t="s">
        <v>837</v>
      </c>
    </row>
    <row r="352">
      <c r="A352" s="4" t="str">
        <f>hyperlink("http://historiamujeres.es/mujerg.html#GAYAT","Gayat al-Munà")</f>
        <v>Gayat al-Munà</v>
      </c>
      <c r="B352" s="1" t="s">
        <v>12</v>
      </c>
      <c r="C352" s="1" t="s">
        <v>12</v>
      </c>
      <c r="D352" s="1" t="s">
        <v>838</v>
      </c>
      <c r="E352" s="1" t="s">
        <v>26</v>
      </c>
      <c r="F352" s="5">
        <v>1060.0</v>
      </c>
      <c r="G352" s="6" t="s">
        <v>17</v>
      </c>
      <c r="H352" s="1" t="s">
        <v>12</v>
      </c>
      <c r="I352" s="1" t="s">
        <v>12</v>
      </c>
      <c r="J352" s="1" t="s">
        <v>443</v>
      </c>
      <c r="K352" s="1" t="s">
        <v>839</v>
      </c>
      <c r="L352" s="3" t="s">
        <v>12</v>
      </c>
      <c r="M352" s="1" t="s">
        <v>832</v>
      </c>
    </row>
    <row r="353">
      <c r="A353" s="24" t="s">
        <v>840</v>
      </c>
      <c r="B353" s="9" t="s">
        <v>841</v>
      </c>
      <c r="C353" s="9" t="s">
        <v>205</v>
      </c>
      <c r="D353" s="9" t="s">
        <v>232</v>
      </c>
      <c r="E353" s="9" t="s">
        <v>12</v>
      </c>
      <c r="F353" s="9">
        <v>1831.0</v>
      </c>
      <c r="G353" s="9" t="s">
        <v>12</v>
      </c>
      <c r="H353" s="9">
        <v>1907.0</v>
      </c>
      <c r="I353" s="9" t="s">
        <v>12</v>
      </c>
      <c r="J353" s="9" t="s">
        <v>113</v>
      </c>
      <c r="K353" s="9" t="s">
        <v>842</v>
      </c>
      <c r="L353" s="9" t="s">
        <v>12</v>
      </c>
      <c r="M353" s="9" t="s">
        <v>12</v>
      </c>
    </row>
    <row r="354">
      <c r="A354" s="4" t="str">
        <f>hyperlink("http://historiamujeres.es/mujerg.html#Gil ","Gil Cano, Francisca Paula de Jesús")</f>
        <v>Gil Cano, Francisca Paula de Jesús</v>
      </c>
      <c r="B354" s="1" t="s">
        <v>12</v>
      </c>
      <c r="C354" s="1" t="s">
        <v>136</v>
      </c>
      <c r="D354" s="1" t="s">
        <v>843</v>
      </c>
      <c r="E354" s="1" t="s">
        <v>12</v>
      </c>
      <c r="F354" s="2">
        <v>1849.0</v>
      </c>
      <c r="G354" s="1" t="s">
        <v>12</v>
      </c>
      <c r="H354" s="1">
        <v>1913.0</v>
      </c>
      <c r="I354" s="1" t="s">
        <v>12</v>
      </c>
      <c r="J354" s="1" t="s">
        <v>844</v>
      </c>
      <c r="K354" s="1" t="s">
        <v>845</v>
      </c>
      <c r="L354" s="3" t="s">
        <v>12</v>
      </c>
      <c r="M354" s="1" t="s">
        <v>846</v>
      </c>
    </row>
    <row r="355">
      <c r="A355" s="4" t="str">
        <f>hyperlink("http://historiamujeres.es/mujerp.html#Perla","Gilabert Vargas, Antonia")</f>
        <v>Gilabert Vargas, Antonia</v>
      </c>
      <c r="B355" s="1" t="s">
        <v>847</v>
      </c>
      <c r="C355" s="1" t="s">
        <v>205</v>
      </c>
      <c r="D355" s="1" t="s">
        <v>205</v>
      </c>
      <c r="E355" s="1" t="s">
        <v>12</v>
      </c>
      <c r="F355" s="2">
        <v>1925.0</v>
      </c>
      <c r="G355" s="1" t="s">
        <v>12</v>
      </c>
      <c r="H355" s="1">
        <v>1975.0</v>
      </c>
      <c r="I355" s="1" t="s">
        <v>12</v>
      </c>
      <c r="J355" s="1" t="s">
        <v>69</v>
      </c>
      <c r="K355" s="1" t="s">
        <v>12</v>
      </c>
      <c r="L355" s="3" t="s">
        <v>12</v>
      </c>
      <c r="M355" s="1" t="s">
        <v>12</v>
      </c>
    </row>
    <row r="356">
      <c r="A356" s="4" t="str">
        <f>hyperlink("http://historiamujeres.es/mujerg.html#Gimenez_Delgado","Giménez Delgado, Francisca")</f>
        <v>Giménez Delgado, Francisca</v>
      </c>
      <c r="B356" s="1" t="s">
        <v>12</v>
      </c>
      <c r="C356" s="1" t="s">
        <v>26</v>
      </c>
      <c r="D356" s="1" t="s">
        <v>542</v>
      </c>
      <c r="E356" s="1" t="s">
        <v>12</v>
      </c>
      <c r="F356" s="2">
        <v>1809.0</v>
      </c>
      <c r="G356" s="1" t="s">
        <v>12</v>
      </c>
      <c r="H356" s="1">
        <v>1879.0</v>
      </c>
      <c r="I356" s="1" t="s">
        <v>12</v>
      </c>
      <c r="J356" s="1" t="s">
        <v>31</v>
      </c>
      <c r="K356" s="1" t="s">
        <v>848</v>
      </c>
      <c r="L356" s="3" t="s">
        <v>12</v>
      </c>
      <c r="M356" s="1" t="s">
        <v>849</v>
      </c>
    </row>
    <row r="357">
      <c r="A357" s="4" t="str">
        <f>hyperlink("http://historiamujeres.es/mujerg.html#Gimenez","Giménez García-Casinello, Isabel")</f>
        <v>Giménez García-Casinello, Isabel</v>
      </c>
      <c r="B357" s="1" t="s">
        <v>850</v>
      </c>
      <c r="C357" s="1" t="s">
        <v>26</v>
      </c>
      <c r="D357" s="1" t="s">
        <v>26</v>
      </c>
      <c r="E357" s="1" t="s">
        <v>740</v>
      </c>
      <c r="F357" s="2">
        <v>1864.0</v>
      </c>
      <c r="G357" s="1" t="s">
        <v>12</v>
      </c>
      <c r="H357" s="1">
        <v>1951.0</v>
      </c>
      <c r="I357" s="1" t="s">
        <v>12</v>
      </c>
      <c r="J357" s="1" t="s">
        <v>216</v>
      </c>
      <c r="K357" s="1" t="s">
        <v>12</v>
      </c>
      <c r="L357" s="3" t="s">
        <v>12</v>
      </c>
      <c r="M357" s="1" t="s">
        <v>851</v>
      </c>
    </row>
    <row r="358">
      <c r="A358" s="4" t="str">
        <f>hyperlink("http://historiamujeres.es/mujerr.html#Rita","Giménez García, Rita")</f>
        <v>Giménez García, Rita</v>
      </c>
      <c r="B358" s="1" t="s">
        <v>852</v>
      </c>
      <c r="C358" s="1" t="s">
        <v>262</v>
      </c>
      <c r="D358" s="1" t="s">
        <v>853</v>
      </c>
      <c r="E358" s="1" t="s">
        <v>12</v>
      </c>
      <c r="F358" s="2">
        <v>1859.0</v>
      </c>
      <c r="G358" s="1" t="s">
        <v>12</v>
      </c>
      <c r="H358" s="1">
        <v>1937.0</v>
      </c>
      <c r="I358" s="1" t="s">
        <v>12</v>
      </c>
      <c r="J358" s="1" t="s">
        <v>69</v>
      </c>
      <c r="K358" s="1" t="s">
        <v>12</v>
      </c>
      <c r="L358" s="3" t="s">
        <v>12</v>
      </c>
      <c r="M358" s="1" t="s">
        <v>854</v>
      </c>
    </row>
    <row r="359">
      <c r="A359" s="22" t="str">
        <f>hyperlink("http://historiamujeres.es/mujerg.html#Gimenez_Encarnacion","Giménez, Encarnación")</f>
        <v>Giménez, Encarnación</v>
      </c>
      <c r="B359" s="9" t="s">
        <v>855</v>
      </c>
      <c r="C359" s="9" t="s">
        <v>12</v>
      </c>
      <c r="D359" s="9" t="s">
        <v>98</v>
      </c>
      <c r="E359" s="9" t="s">
        <v>12</v>
      </c>
      <c r="F359" s="12">
        <v>1900.0</v>
      </c>
      <c r="G359" s="13" t="s">
        <v>17</v>
      </c>
      <c r="H359" s="9">
        <v>1937.0</v>
      </c>
      <c r="I359" s="1"/>
      <c r="J359" s="9" t="s">
        <v>856</v>
      </c>
      <c r="K359" s="9" t="s">
        <v>857</v>
      </c>
      <c r="L359" s="14" t="s">
        <v>12</v>
      </c>
      <c r="M359" s="9" t="s">
        <v>12</v>
      </c>
    </row>
    <row r="360">
      <c r="A360" s="4" t="str">
        <f>hyperlink("http://historiamujeres.es/mujerg.html#Gomez_Ca","Gómez Casado, Rosario")</f>
        <v>Gómez Casado, Rosario</v>
      </c>
      <c r="B360" s="1" t="s">
        <v>24</v>
      </c>
      <c r="C360" s="1" t="s">
        <v>12</v>
      </c>
      <c r="D360" s="1" t="s">
        <v>12</v>
      </c>
      <c r="E360" s="1" t="s">
        <v>12</v>
      </c>
      <c r="F360" s="5">
        <v>1940.0</v>
      </c>
      <c r="G360" s="6" t="s">
        <v>17</v>
      </c>
      <c r="H360" s="1" t="s">
        <v>12</v>
      </c>
      <c r="I360" s="1">
        <v>2000.0</v>
      </c>
      <c r="J360" s="1" t="s">
        <v>858</v>
      </c>
      <c r="K360" s="1" t="s">
        <v>859</v>
      </c>
      <c r="L360" s="3" t="s">
        <v>12</v>
      </c>
      <c r="M360" s="1" t="s">
        <v>12</v>
      </c>
    </row>
    <row r="361">
      <c r="A361" s="4" t="str">
        <f>hyperlink("http://historiamujeres.es/mujerg.html#Gomez_de_Avellaneda","Gómez de Avellaneda, Gertrudis")</f>
        <v>Gómez de Avellaneda, Gertrudis</v>
      </c>
      <c r="B361" s="1" t="s">
        <v>860</v>
      </c>
      <c r="C361" s="1" t="s">
        <v>861</v>
      </c>
      <c r="D361" s="1" t="s">
        <v>68</v>
      </c>
      <c r="E361" s="1" t="s">
        <v>657</v>
      </c>
      <c r="F361" s="2">
        <v>1814.0</v>
      </c>
      <c r="G361" s="1" t="s">
        <v>12</v>
      </c>
      <c r="H361" s="1">
        <v>1873.0</v>
      </c>
      <c r="I361" s="1" t="s">
        <v>12</v>
      </c>
      <c r="J361" s="1" t="s">
        <v>862</v>
      </c>
      <c r="K361" s="1" t="s">
        <v>12</v>
      </c>
      <c r="L361" s="3" t="s">
        <v>12</v>
      </c>
      <c r="M361" s="1" t="s">
        <v>863</v>
      </c>
    </row>
    <row r="362">
      <c r="A362" s="4" t="str">
        <f>hyperlink("http://historiamujeres.es/mujerg.html#Gomez_del","Gómez del Corral, Amalia")</f>
        <v>Gómez del Corral, Amalia</v>
      </c>
      <c r="B362" s="1" t="s">
        <v>12</v>
      </c>
      <c r="C362" s="1" t="s">
        <v>864</v>
      </c>
      <c r="D362" s="1" t="s">
        <v>12</v>
      </c>
      <c r="E362" s="1" t="s">
        <v>402</v>
      </c>
      <c r="F362" s="16">
        <v>1898.0</v>
      </c>
      <c r="G362" s="17" t="s">
        <v>12</v>
      </c>
      <c r="H362" s="17" t="s">
        <v>12</v>
      </c>
      <c r="I362" s="1" t="s">
        <v>12</v>
      </c>
      <c r="J362" s="1" t="s">
        <v>865</v>
      </c>
      <c r="K362" s="1" t="s">
        <v>139</v>
      </c>
      <c r="L362" s="3" t="s">
        <v>12</v>
      </c>
      <c r="M362" s="1" t="s">
        <v>12</v>
      </c>
    </row>
    <row r="363">
      <c r="A363" s="4" t="str">
        <f>hyperlink("http://historiamujeres.es/mujerg.html#Gomez_Ferron","Gómez Ferrón, Ascensión")</f>
        <v>Gómez Ferrón, Ascensión</v>
      </c>
      <c r="B363" s="1" t="s">
        <v>12</v>
      </c>
      <c r="C363" s="1" t="s">
        <v>866</v>
      </c>
      <c r="D363" s="1" t="s">
        <v>12</v>
      </c>
      <c r="E363" s="1" t="s">
        <v>12</v>
      </c>
      <c r="F363" s="2">
        <v>1966.0</v>
      </c>
      <c r="G363" s="1" t="s">
        <v>12</v>
      </c>
      <c r="H363" s="1" t="s">
        <v>12</v>
      </c>
      <c r="I363" s="1" t="s">
        <v>12</v>
      </c>
      <c r="J363" s="1" t="s">
        <v>867</v>
      </c>
      <c r="K363" s="1" t="s">
        <v>12</v>
      </c>
      <c r="L363" s="3" t="s">
        <v>12</v>
      </c>
      <c r="M363" s="1" t="s">
        <v>36</v>
      </c>
    </row>
    <row r="364">
      <c r="A364" s="4" t="str">
        <f>hyperlink("http://historiamujeres.es/mujerg.html#Gomezlo","Gómez López, Catalina")</f>
        <v>Gómez López, Catalina</v>
      </c>
      <c r="B364" s="1" t="s">
        <v>12</v>
      </c>
      <c r="C364" s="1" t="s">
        <v>12</v>
      </c>
      <c r="D364" s="1" t="s">
        <v>12</v>
      </c>
      <c r="E364" s="1" t="s">
        <v>675</v>
      </c>
      <c r="F364" s="5">
        <v>1955.0</v>
      </c>
      <c r="G364" s="6" t="s">
        <v>17</v>
      </c>
      <c r="H364" s="1" t="s">
        <v>12</v>
      </c>
      <c r="I364" s="1">
        <v>2002.0</v>
      </c>
      <c r="J364" s="1" t="s">
        <v>408</v>
      </c>
      <c r="K364" s="1" t="s">
        <v>12</v>
      </c>
      <c r="L364" s="3" t="s">
        <v>12</v>
      </c>
      <c r="M364" s="1" t="s">
        <v>868</v>
      </c>
    </row>
    <row r="365">
      <c r="A365" s="4" t="str">
        <f>hyperlink("http://historiamujeres.es/mujerg.html#Gomez_Spencer","Gómez Spencer, Elena")</f>
        <v>Gómez Spencer, Elena</v>
      </c>
      <c r="B365" s="1" t="s">
        <v>12</v>
      </c>
      <c r="C365" s="1" t="s">
        <v>26</v>
      </c>
      <c r="D365" s="1" t="s">
        <v>12</v>
      </c>
      <c r="E365" s="9" t="s">
        <v>869</v>
      </c>
      <c r="F365" s="16">
        <v>1894.0</v>
      </c>
      <c r="G365" s="6" t="s">
        <v>92</v>
      </c>
      <c r="H365" s="17" t="s">
        <v>12</v>
      </c>
      <c r="I365" s="1" t="s">
        <v>12</v>
      </c>
      <c r="J365" s="1" t="s">
        <v>870</v>
      </c>
      <c r="K365" s="1" t="s">
        <v>171</v>
      </c>
      <c r="L365" s="14" t="s">
        <v>459</v>
      </c>
      <c r="M365" s="9" t="s">
        <v>871</v>
      </c>
    </row>
    <row r="366">
      <c r="A366" s="4" t="str">
        <f>hyperlink("http://historiamujeres.es/mujera.html#Abrucena","Gómez, Josefa")</f>
        <v>Gómez, Josefa</v>
      </c>
      <c r="B366" s="1" t="s">
        <v>872</v>
      </c>
      <c r="C366" s="1" t="s">
        <v>13</v>
      </c>
      <c r="D366" s="1" t="s">
        <v>12</v>
      </c>
      <c r="E366" s="1" t="s">
        <v>12</v>
      </c>
      <c r="F366" s="5">
        <v>1930.0</v>
      </c>
      <c r="G366" s="6" t="s">
        <v>17</v>
      </c>
      <c r="H366" s="1" t="s">
        <v>12</v>
      </c>
      <c r="I366" s="1" t="s">
        <v>12</v>
      </c>
      <c r="J366" s="1" t="s">
        <v>873</v>
      </c>
      <c r="K366" s="1" t="s">
        <v>12</v>
      </c>
      <c r="L366" s="3" t="s">
        <v>12</v>
      </c>
      <c r="M366" s="1" t="s">
        <v>196</v>
      </c>
    </row>
    <row r="367">
      <c r="A367" s="4" t="str">
        <f>hyperlink("http://historiamujeres.es/vidas/gongora-lopez-carmen.html","Góngora López, Carmen")</f>
        <v>Góngora López, Carmen</v>
      </c>
      <c r="B367" s="8" t="s">
        <v>12</v>
      </c>
      <c r="C367" s="8" t="s">
        <v>874</v>
      </c>
      <c r="D367" s="8" t="s">
        <v>26</v>
      </c>
      <c r="E367" s="8" t="s">
        <v>12</v>
      </c>
      <c r="F367" s="8">
        <v>1900.0</v>
      </c>
      <c r="G367" s="8" t="s">
        <v>12</v>
      </c>
      <c r="H367" s="8">
        <v>1982.0</v>
      </c>
      <c r="I367" s="8" t="s">
        <v>12</v>
      </c>
      <c r="J367" s="8" t="s">
        <v>875</v>
      </c>
      <c r="K367" s="8" t="s">
        <v>876</v>
      </c>
      <c r="L367" s="8" t="s">
        <v>877</v>
      </c>
      <c r="M367" s="8" t="s">
        <v>878</v>
      </c>
    </row>
    <row r="368">
      <c r="A368" s="4" t="str">
        <f>hyperlink("http://historiamujeres.es/mujerg.html#Gonzales","Gonzales Guerra, Amalia")</f>
        <v>Gonzales Guerra, Amalia</v>
      </c>
      <c r="B368" s="1" t="s">
        <v>12</v>
      </c>
      <c r="C368" s="1" t="s">
        <v>879</v>
      </c>
      <c r="D368" s="1" t="s">
        <v>879</v>
      </c>
      <c r="E368" s="1" t="s">
        <v>12</v>
      </c>
      <c r="F368" s="2">
        <v>1894.0</v>
      </c>
      <c r="G368" s="1" t="s">
        <v>12</v>
      </c>
      <c r="H368" s="1">
        <v>1936.0</v>
      </c>
      <c r="I368" s="1" t="s">
        <v>12</v>
      </c>
      <c r="J368" s="1" t="s">
        <v>760</v>
      </c>
      <c r="K368" s="1" t="s">
        <v>500</v>
      </c>
      <c r="L368" s="3" t="s">
        <v>880</v>
      </c>
      <c r="M368" s="1" t="s">
        <v>12</v>
      </c>
    </row>
    <row r="369">
      <c r="A369" s="4" t="str">
        <f>hyperlink("http://historiamujeres.es/mujerg.html#Gonzlez","González Aguado, Josefa")</f>
        <v>González Aguado, Josefa</v>
      </c>
      <c r="B369" s="1" t="s">
        <v>881</v>
      </c>
      <c r="C369" s="1" t="s">
        <v>12</v>
      </c>
      <c r="D369" s="1" t="s">
        <v>12</v>
      </c>
      <c r="E369" s="1" t="s">
        <v>12</v>
      </c>
      <c r="F369" s="2">
        <v>1907.0</v>
      </c>
      <c r="G369" s="1" t="s">
        <v>12</v>
      </c>
      <c r="H369" s="1">
        <v>1955.0</v>
      </c>
      <c r="I369" s="1" t="s">
        <v>12</v>
      </c>
      <c r="J369" s="1" t="s">
        <v>882</v>
      </c>
      <c r="K369" s="1" t="s">
        <v>883</v>
      </c>
      <c r="L369" s="3" t="s">
        <v>12</v>
      </c>
      <c r="M369" s="1" t="s">
        <v>12</v>
      </c>
    </row>
    <row r="370">
      <c r="A370" s="4" t="str">
        <f>hyperlink("http://historiamujeres.es/mujerg.html#Gonzalez_Lopez","González López, Agustina")</f>
        <v>González López, Agustina</v>
      </c>
      <c r="B370" s="1" t="s">
        <v>884</v>
      </c>
      <c r="C370" s="1" t="s">
        <v>12</v>
      </c>
      <c r="D370" s="1" t="s">
        <v>12</v>
      </c>
      <c r="E370" s="1" t="s">
        <v>12</v>
      </c>
      <c r="F370" s="2">
        <v>1891.0</v>
      </c>
      <c r="G370" s="1" t="s">
        <v>12</v>
      </c>
      <c r="H370" s="1">
        <v>1936.0</v>
      </c>
      <c r="I370" s="1" t="s">
        <v>12</v>
      </c>
      <c r="J370" s="1" t="s">
        <v>113</v>
      </c>
      <c r="K370" s="1" t="s">
        <v>885</v>
      </c>
      <c r="L370" s="3" t="s">
        <v>886</v>
      </c>
      <c r="M370" s="1" t="s">
        <v>887</v>
      </c>
    </row>
    <row r="371">
      <c r="A371" s="7" t="str">
        <f>hyperlink("http://historiamujeres.es/mujerg.html#Gonzalez_Reyes","González Reyes, Elena")</f>
        <v>González Reyes, Elena</v>
      </c>
      <c r="B371" s="9" t="s">
        <v>12</v>
      </c>
      <c r="C371" s="9" t="s">
        <v>27</v>
      </c>
      <c r="D371" s="9" t="s">
        <v>12</v>
      </c>
      <c r="E371" s="9" t="s">
        <v>12</v>
      </c>
      <c r="F371" s="29">
        <v>1975.0</v>
      </c>
      <c r="G371" s="21" t="s">
        <v>12</v>
      </c>
      <c r="H371" s="21" t="s">
        <v>12</v>
      </c>
      <c r="I371" s="9" t="s">
        <v>12</v>
      </c>
      <c r="J371" s="9" t="s">
        <v>461</v>
      </c>
      <c r="K371" s="9" t="s">
        <v>12</v>
      </c>
      <c r="L371" s="19" t="s">
        <v>12</v>
      </c>
      <c r="M371" s="9" t="s">
        <v>298</v>
      </c>
    </row>
    <row r="372">
      <c r="A372" s="4" t="str">
        <f>hyperlink("http://historiamujeres.es/mujerg.html#Gonzalez_Vivas","González Vivas, Josefa")</f>
        <v>González Vivas, Josefa</v>
      </c>
      <c r="B372" s="1" t="s">
        <v>12</v>
      </c>
      <c r="C372" s="1" t="s">
        <v>178</v>
      </c>
      <c r="D372" s="1" t="s">
        <v>30</v>
      </c>
      <c r="E372" s="1" t="s">
        <v>12</v>
      </c>
      <c r="F372" s="5">
        <v>1896.0</v>
      </c>
      <c r="G372" s="6" t="s">
        <v>17</v>
      </c>
      <c r="H372" s="1">
        <v>1919.0</v>
      </c>
      <c r="I372" s="1" t="s">
        <v>12</v>
      </c>
      <c r="J372" s="1" t="s">
        <v>888</v>
      </c>
      <c r="K372" s="1" t="s">
        <v>12</v>
      </c>
      <c r="L372" s="3" t="s">
        <v>12</v>
      </c>
      <c r="M372" s="1" t="s">
        <v>889</v>
      </c>
    </row>
    <row r="373">
      <c r="A373" s="4" t="str">
        <f>hyperlink("http://historiamujeres.es/mujerf.html#Fulmen","González, María")</f>
        <v>González, María</v>
      </c>
      <c r="B373" s="1" t="s">
        <v>890</v>
      </c>
      <c r="C373" s="1" t="s">
        <v>27</v>
      </c>
      <c r="D373" s="1" t="s">
        <v>27</v>
      </c>
      <c r="E373" s="1" t="s">
        <v>12</v>
      </c>
      <c r="F373" s="5">
        <v>1930.0</v>
      </c>
      <c r="G373" s="6" t="s">
        <v>43</v>
      </c>
      <c r="H373" s="6">
        <v>2004.0</v>
      </c>
      <c r="I373" s="1" t="s">
        <v>12</v>
      </c>
      <c r="J373" s="1" t="s">
        <v>80</v>
      </c>
      <c r="K373" s="1" t="s">
        <v>891</v>
      </c>
      <c r="L373" s="3" t="s">
        <v>12</v>
      </c>
      <c r="M373" s="1" t="s">
        <v>12</v>
      </c>
    </row>
    <row r="374">
      <c r="A374" s="4" t="str">
        <f>hyperlink("http://historiamujeres.es/mujerg.html#Gorgonas","Gorgonas")</f>
        <v>Gorgonas</v>
      </c>
      <c r="B374" s="1" t="s">
        <v>12</v>
      </c>
      <c r="C374" s="1" t="s">
        <v>12</v>
      </c>
      <c r="D374" s="1" t="s">
        <v>12</v>
      </c>
      <c r="E374" s="1" t="s">
        <v>892</v>
      </c>
      <c r="F374" s="5">
        <v>-700.0</v>
      </c>
      <c r="G374" s="6" t="s">
        <v>17</v>
      </c>
      <c r="H374" s="1" t="s">
        <v>12</v>
      </c>
      <c r="I374" s="1" t="s">
        <v>12</v>
      </c>
      <c r="J374" s="1" t="s">
        <v>893</v>
      </c>
      <c r="K374" s="1" t="s">
        <v>12</v>
      </c>
      <c r="L374" s="3" t="s">
        <v>12</v>
      </c>
      <c r="M374" s="1" t="s">
        <v>12</v>
      </c>
    </row>
    <row r="375">
      <c r="A375" s="7" t="str">
        <f>hyperlink("http://historiamujeres.es/mujerg.html#Gozzaldi","Gozzaldi, Mary Isabella")</f>
        <v>Gozzaldi, Mary Isabella</v>
      </c>
      <c r="B375" s="9" t="s">
        <v>894</v>
      </c>
      <c r="C375" s="9" t="s">
        <v>895</v>
      </c>
      <c r="D375" s="9" t="s">
        <v>896</v>
      </c>
      <c r="E375" s="9" t="s">
        <v>26</v>
      </c>
      <c r="F375" s="15">
        <v>1852.0</v>
      </c>
      <c r="G375" s="9" t="s">
        <v>12</v>
      </c>
      <c r="H375" s="9">
        <v>1935.0</v>
      </c>
      <c r="I375" s="9">
        <v>1910.0</v>
      </c>
      <c r="J375" s="8" t="s">
        <v>897</v>
      </c>
      <c r="K375" s="9" t="s">
        <v>898</v>
      </c>
      <c r="L375" s="14" t="s">
        <v>12</v>
      </c>
      <c r="M375" s="9" t="s">
        <v>899</v>
      </c>
    </row>
    <row r="376">
      <c r="A376" s="4" t="str">
        <f>hyperlink("http://historiamujeres.es/mujerg.html#Granado","Granado Narbona, Carmen")</f>
        <v>Granado Narbona, Carmen</v>
      </c>
      <c r="B376" s="1" t="s">
        <v>900</v>
      </c>
      <c r="C376" s="1" t="s">
        <v>120</v>
      </c>
      <c r="D376" s="1" t="s">
        <v>12</v>
      </c>
      <c r="E376" s="1" t="s">
        <v>12</v>
      </c>
      <c r="F376" s="2">
        <v>1921.0</v>
      </c>
      <c r="G376" s="1" t="s">
        <v>12</v>
      </c>
      <c r="H376" s="1" t="s">
        <v>12</v>
      </c>
      <c r="I376" s="1" t="s">
        <v>12</v>
      </c>
      <c r="J376" s="1" t="s">
        <v>806</v>
      </c>
      <c r="K376" s="1" t="s">
        <v>12</v>
      </c>
      <c r="L376" s="3" t="s">
        <v>12</v>
      </c>
      <c r="M376" s="1" t="s">
        <v>12</v>
      </c>
    </row>
    <row r="377">
      <c r="A377" s="7" t="str">
        <f>hyperlink("http://historiamujeres.es/vidas/Grepp_Gerda.html","Grepp, Gerda")</f>
        <v>Grepp, Gerda</v>
      </c>
      <c r="B377" s="8" t="s">
        <v>12</v>
      </c>
      <c r="C377" s="8" t="s">
        <v>901</v>
      </c>
      <c r="D377" s="8" t="s">
        <v>901</v>
      </c>
      <c r="E377" s="8" t="s">
        <v>902</v>
      </c>
      <c r="F377" s="8">
        <v>1907.0</v>
      </c>
      <c r="H377" s="8">
        <v>1940.0</v>
      </c>
      <c r="I377" s="8" t="s">
        <v>12</v>
      </c>
      <c r="J377" s="8" t="s">
        <v>903</v>
      </c>
      <c r="K377" s="8" t="s">
        <v>811</v>
      </c>
      <c r="L377" s="8" t="s">
        <v>12</v>
      </c>
      <c r="M377" s="8" t="s">
        <v>904</v>
      </c>
    </row>
    <row r="378">
      <c r="A378" s="4" t="str">
        <f>hyperlink("http://historiamujeres.es/mujerg.html#Grice","Grice-Hutchinson, Marjorie")</f>
        <v>Grice-Hutchinson, Marjorie</v>
      </c>
      <c r="B378" s="1" t="s">
        <v>12</v>
      </c>
      <c r="C378" s="1" t="s">
        <v>905</v>
      </c>
      <c r="D378" s="1" t="s">
        <v>98</v>
      </c>
      <c r="E378" s="1" t="s">
        <v>12</v>
      </c>
      <c r="F378" s="2">
        <v>1909.0</v>
      </c>
      <c r="G378" s="1" t="s">
        <v>12</v>
      </c>
      <c r="H378" s="1">
        <v>2003.0</v>
      </c>
      <c r="J378" s="1" t="s">
        <v>906</v>
      </c>
      <c r="K378" s="1" t="s">
        <v>907</v>
      </c>
      <c r="L378" s="3" t="s">
        <v>12</v>
      </c>
      <c r="M378" s="1" t="s">
        <v>908</v>
      </c>
    </row>
    <row r="379">
      <c r="A379" s="7" t="str">
        <f>hyperlink("http://historiamujeres.es/vidas/grund-trinidad.html","Grund y Cerero de Campos, Trinidad")</f>
        <v>Grund y Cerero de Campos, Trinidad</v>
      </c>
      <c r="B379" s="8" t="s">
        <v>12</v>
      </c>
      <c r="C379" s="8" t="s">
        <v>27</v>
      </c>
      <c r="D379" s="8" t="s">
        <v>98</v>
      </c>
      <c r="F379" s="8">
        <v>1821.0</v>
      </c>
      <c r="H379" s="8">
        <v>1896.0</v>
      </c>
      <c r="I379" s="8" t="s">
        <v>12</v>
      </c>
      <c r="K379" s="8" t="s">
        <v>909</v>
      </c>
      <c r="L379" s="8" t="s">
        <v>12</v>
      </c>
      <c r="M379" s="8" t="s">
        <v>910</v>
      </c>
    </row>
    <row r="380">
      <c r="A380" s="4" t="str">
        <f>hyperlink("http://historiamujeres.es/mujerm.html#MARIQUI","Guardia Gómez, María")</f>
        <v>Guardia Gómez, María</v>
      </c>
      <c r="B380" s="1" t="s">
        <v>911</v>
      </c>
      <c r="C380" s="1" t="s">
        <v>912</v>
      </c>
      <c r="D380" s="1" t="s">
        <v>12</v>
      </c>
      <c r="E380" s="1" t="s">
        <v>12</v>
      </c>
      <c r="F380" s="2">
        <v>1943.0</v>
      </c>
      <c r="G380" s="1" t="s">
        <v>12</v>
      </c>
      <c r="H380" s="1" t="s">
        <v>12</v>
      </c>
      <c r="I380" s="1" t="s">
        <v>12</v>
      </c>
      <c r="J380" s="1" t="s">
        <v>145</v>
      </c>
      <c r="K380" s="1" t="s">
        <v>12</v>
      </c>
      <c r="L380" s="3" t="s">
        <v>12</v>
      </c>
      <c r="M380" s="1" t="s">
        <v>12</v>
      </c>
    </row>
    <row r="381">
      <c r="A381" s="24" t="s">
        <v>913</v>
      </c>
      <c r="B381" s="9" t="s">
        <v>12</v>
      </c>
      <c r="C381" s="9" t="s">
        <v>27</v>
      </c>
      <c r="D381" s="9" t="s">
        <v>12</v>
      </c>
      <c r="E381" s="9" t="s">
        <v>12</v>
      </c>
      <c r="F381" s="9">
        <v>1940.0</v>
      </c>
      <c r="G381" s="8" t="s">
        <v>12</v>
      </c>
      <c r="H381" s="8" t="s">
        <v>12</v>
      </c>
      <c r="I381" s="9" t="s">
        <v>12</v>
      </c>
      <c r="J381" s="9" t="s">
        <v>914</v>
      </c>
      <c r="K381" s="9" t="s">
        <v>12</v>
      </c>
      <c r="L381" s="9" t="s">
        <v>12</v>
      </c>
      <c r="M381" s="8" t="s">
        <v>753</v>
      </c>
    </row>
    <row r="382">
      <c r="A382" s="4" t="str">
        <f>hyperlink("http://historiamujeres.es/mujerg.html#Guerraca ","Guerra Carretero, Vicenta")</f>
        <v>Guerra Carretero, Vicenta</v>
      </c>
      <c r="B382" s="1" t="s">
        <v>12</v>
      </c>
      <c r="C382" s="1" t="s">
        <v>262</v>
      </c>
      <c r="D382" s="1" t="s">
        <v>12</v>
      </c>
      <c r="E382" s="1" t="s">
        <v>12</v>
      </c>
      <c r="F382" s="2">
        <v>1930.0</v>
      </c>
      <c r="G382" s="1" t="s">
        <v>12</v>
      </c>
      <c r="H382" s="1" t="s">
        <v>12</v>
      </c>
      <c r="I382" s="1" t="s">
        <v>12</v>
      </c>
      <c r="J382" s="1" t="s">
        <v>915</v>
      </c>
      <c r="K382" s="1" t="s">
        <v>12</v>
      </c>
      <c r="L382" s="3" t="s">
        <v>12</v>
      </c>
      <c r="M382" s="1" t="s">
        <v>916</v>
      </c>
    </row>
    <row r="383">
      <c r="A383" s="4" t="str">
        <f>hyperlink("http://historiamujeres.es/mujerg.html#GUERRA ","Guerra, Teresa")</f>
        <v>Guerra, Teresa</v>
      </c>
      <c r="B383" s="1" t="s">
        <v>12</v>
      </c>
      <c r="C383" s="1" t="s">
        <v>12</v>
      </c>
      <c r="D383" s="1" t="s">
        <v>12</v>
      </c>
      <c r="E383" s="1" t="s">
        <v>205</v>
      </c>
      <c r="F383" s="5">
        <v>1690.0</v>
      </c>
      <c r="G383" s="6" t="s">
        <v>43</v>
      </c>
      <c r="H383" s="6">
        <v>1735.0</v>
      </c>
      <c r="I383" s="1">
        <v>1725.0</v>
      </c>
      <c r="J383" s="1" t="s">
        <v>216</v>
      </c>
      <c r="K383" s="1" t="s">
        <v>12</v>
      </c>
      <c r="L383" s="3" t="s">
        <v>12</v>
      </c>
      <c r="M383" s="1" t="s">
        <v>12</v>
      </c>
    </row>
    <row r="384">
      <c r="A384" s="4" t="str">
        <f>hyperlink("http://historiamujeres.es/mujert.html#Tomasa","Guerrero Carrasco, Tomasa")</f>
        <v>Guerrero Carrasco, Tomasa</v>
      </c>
      <c r="B384" s="1" t="s">
        <v>917</v>
      </c>
      <c r="C384" s="1" t="s">
        <v>262</v>
      </c>
      <c r="D384" s="1" t="s">
        <v>12</v>
      </c>
      <c r="E384" s="1" t="s">
        <v>12</v>
      </c>
      <c r="F384" s="2">
        <v>1968.0</v>
      </c>
      <c r="G384" s="1" t="s">
        <v>12</v>
      </c>
      <c r="H384" s="1" t="s">
        <v>12</v>
      </c>
      <c r="I384" s="1" t="s">
        <v>12</v>
      </c>
      <c r="J384" s="1" t="s">
        <v>69</v>
      </c>
      <c r="K384" s="1" t="s">
        <v>12</v>
      </c>
      <c r="L384" s="3" t="s">
        <v>12</v>
      </c>
      <c r="M384" s="1" t="s">
        <v>12</v>
      </c>
    </row>
    <row r="385">
      <c r="A385" s="4" t="str">
        <f>hyperlink("http://historiamujeres.es/mujerg.html#Guerrillaco","Guerrilla contra Franco, Mujeres de Córdoba en la")</f>
        <v>Guerrilla contra Franco, Mujeres de Córdoba en la</v>
      </c>
      <c r="B385" s="1" t="s">
        <v>12</v>
      </c>
      <c r="C385" s="1" t="s">
        <v>24</v>
      </c>
      <c r="D385" s="1" t="s">
        <v>12</v>
      </c>
      <c r="E385" s="1" t="s">
        <v>12</v>
      </c>
      <c r="F385" s="2">
        <v>1936.0</v>
      </c>
      <c r="G385" s="6" t="s">
        <v>92</v>
      </c>
      <c r="H385" s="6">
        <v>1950.0</v>
      </c>
      <c r="I385" s="1" t="s">
        <v>12</v>
      </c>
      <c r="J385" s="1" t="s">
        <v>918</v>
      </c>
      <c r="K385" s="1" t="s">
        <v>12</v>
      </c>
      <c r="L385" s="3" t="s">
        <v>12</v>
      </c>
      <c r="M385" s="1" t="s">
        <v>12</v>
      </c>
    </row>
    <row r="386">
      <c r="A386" s="4" t="str">
        <f>hyperlink("http://historiamujeres.es/mujerg.html#Guerrillaja","Guerrilla contra Franco, Mujeres de Jaén en la")</f>
        <v>Guerrilla contra Franco, Mujeres de Jaén en la</v>
      </c>
      <c r="B386" s="1" t="s">
        <v>12</v>
      </c>
      <c r="C386" s="1" t="s">
        <v>12</v>
      </c>
      <c r="D386" s="1" t="s">
        <v>12</v>
      </c>
      <c r="E386" s="1" t="s">
        <v>12</v>
      </c>
      <c r="F386" s="2">
        <v>1936.0</v>
      </c>
      <c r="G386" s="6" t="s">
        <v>92</v>
      </c>
      <c r="H386" s="6">
        <v>1950.0</v>
      </c>
      <c r="I386" s="1" t="s">
        <v>12</v>
      </c>
      <c r="J386" s="1" t="s">
        <v>918</v>
      </c>
      <c r="K386" s="1" t="s">
        <v>12</v>
      </c>
      <c r="L386" s="3" t="s">
        <v>12</v>
      </c>
      <c r="M386" s="1" t="s">
        <v>12</v>
      </c>
    </row>
    <row r="387">
      <c r="A387" s="4" t="str">
        <f>hyperlink("http://historiamujeres.es/mujerg.html#GUIJO","Guijo Ternero, Enriqueta")</f>
        <v>Guijo Ternero, Enriqueta</v>
      </c>
      <c r="B387" s="1" t="s">
        <v>12</v>
      </c>
      <c r="C387" s="1" t="s">
        <v>27</v>
      </c>
      <c r="D387" s="1" t="s">
        <v>12</v>
      </c>
      <c r="E387" s="1" t="s">
        <v>68</v>
      </c>
      <c r="F387" s="2">
        <v>1899.0</v>
      </c>
      <c r="G387" s="1" t="s">
        <v>12</v>
      </c>
      <c r="H387" s="1" t="s">
        <v>12</v>
      </c>
      <c r="I387" s="1" t="s">
        <v>12</v>
      </c>
      <c r="J387" s="1" t="s">
        <v>919</v>
      </c>
      <c r="K387" s="1" t="s">
        <v>920</v>
      </c>
      <c r="L387" s="3" t="s">
        <v>12</v>
      </c>
      <c r="M387" s="1" t="s">
        <v>12</v>
      </c>
    </row>
    <row r="388">
      <c r="A388" s="4" t="str">
        <f>hyperlink("http://historiamujeres.es/mujera.html#Abrucena","Guindo, Isabel")</f>
        <v>Guindo, Isabel</v>
      </c>
      <c r="B388" s="1" t="s">
        <v>12</v>
      </c>
      <c r="C388" s="1" t="s">
        <v>13</v>
      </c>
      <c r="D388" s="1" t="s">
        <v>12</v>
      </c>
      <c r="E388" s="1" t="s">
        <v>12</v>
      </c>
      <c r="F388" s="5">
        <v>1980.0</v>
      </c>
      <c r="G388" s="6" t="s">
        <v>17</v>
      </c>
      <c r="H388" s="1" t="s">
        <v>12</v>
      </c>
      <c r="I388" s="1" t="s">
        <v>12</v>
      </c>
      <c r="J388" s="1" t="s">
        <v>921</v>
      </c>
      <c r="K388" s="1" t="s">
        <v>922</v>
      </c>
      <c r="L388" s="3" t="s">
        <v>12</v>
      </c>
      <c r="M388" s="1" t="s">
        <v>196</v>
      </c>
    </row>
    <row r="389">
      <c r="A389" s="4" t="str">
        <f>hyperlink("http://historiamujeres.es/mujerg.html#GUIRADO","Guirado Pérez, Ana")</f>
        <v>Guirado Pérez, Ana</v>
      </c>
      <c r="B389" s="1" t="s">
        <v>12</v>
      </c>
      <c r="C389" s="1" t="s">
        <v>98</v>
      </c>
      <c r="D389" s="1" t="s">
        <v>12</v>
      </c>
      <c r="E389" s="1" t="s">
        <v>12</v>
      </c>
      <c r="F389" s="2">
        <v>1946.0</v>
      </c>
      <c r="G389" s="1" t="s">
        <v>12</v>
      </c>
      <c r="H389" s="1" t="s">
        <v>12</v>
      </c>
      <c r="I389" s="1" t="s">
        <v>12</v>
      </c>
      <c r="J389" s="1" t="s">
        <v>171</v>
      </c>
      <c r="K389" s="1" t="s">
        <v>923</v>
      </c>
      <c r="L389" s="3" t="s">
        <v>12</v>
      </c>
      <c r="M389" s="1" t="s">
        <v>12</v>
      </c>
    </row>
    <row r="390">
      <c r="A390" s="4" t="str">
        <f>hyperlink("http://historiamujeres.es/mujerg.html#Gutierrez_Aznar","Gutiérrez Aznar, Dolores")</f>
        <v>Gutiérrez Aznar, Dolores</v>
      </c>
      <c r="B390" s="1" t="s">
        <v>12</v>
      </c>
      <c r="C390" s="1" t="s">
        <v>26</v>
      </c>
      <c r="D390" s="1" t="s">
        <v>324</v>
      </c>
      <c r="E390" s="1" t="s">
        <v>12</v>
      </c>
      <c r="F390" s="2">
        <v>1874.0</v>
      </c>
      <c r="G390" s="1" t="s">
        <v>12</v>
      </c>
      <c r="H390" s="1">
        <v>1954.0</v>
      </c>
      <c r="I390" s="1" t="s">
        <v>12</v>
      </c>
      <c r="J390" s="1" t="s">
        <v>216</v>
      </c>
      <c r="K390" s="1" t="s">
        <v>12</v>
      </c>
      <c r="L390" s="3" t="s">
        <v>12</v>
      </c>
      <c r="M390" s="1" t="s">
        <v>12</v>
      </c>
    </row>
    <row r="391">
      <c r="A391" s="4" t="str">
        <f>hyperlink("http://historiamujeres.es/mujerl.html#LAGOS","Gutiérrez Torrero, Concepción")</f>
        <v>Gutiérrez Torrero, Concepción</v>
      </c>
      <c r="B391" s="1" t="s">
        <v>924</v>
      </c>
      <c r="C391" s="1" t="s">
        <v>24</v>
      </c>
      <c r="D391" s="1" t="s">
        <v>68</v>
      </c>
      <c r="E391" s="1" t="s">
        <v>12</v>
      </c>
      <c r="F391" s="15">
        <v>1907.0</v>
      </c>
      <c r="G391" s="1" t="s">
        <v>12</v>
      </c>
      <c r="H391" s="1">
        <v>2007.0</v>
      </c>
      <c r="I391" s="1" t="s">
        <v>12</v>
      </c>
      <c r="J391" s="1" t="s">
        <v>925</v>
      </c>
      <c r="K391" s="9" t="s">
        <v>926</v>
      </c>
      <c r="L391" s="14" t="s">
        <v>927</v>
      </c>
      <c r="M391" s="1" t="s">
        <v>36</v>
      </c>
    </row>
    <row r="392">
      <c r="A392" s="4" t="str">
        <f>hyperlink("http://historiamujeres.es/mujerg.html#Gutierrez_tange","Gutiérrez, Ana")</f>
        <v>Gutiérrez, Ana</v>
      </c>
      <c r="B392" s="1" t="s">
        <v>928</v>
      </c>
      <c r="C392" s="1" t="s">
        <v>12</v>
      </c>
      <c r="D392" s="1" t="s">
        <v>12</v>
      </c>
      <c r="E392" s="1" t="s">
        <v>98</v>
      </c>
      <c r="F392" s="5">
        <v>1920.0</v>
      </c>
      <c r="G392" s="6" t="s">
        <v>17</v>
      </c>
      <c r="H392" s="1" t="s">
        <v>12</v>
      </c>
      <c r="I392" s="1">
        <v>1951.0</v>
      </c>
      <c r="J392" s="1" t="s">
        <v>918</v>
      </c>
      <c r="K392" s="1" t="s">
        <v>12</v>
      </c>
      <c r="L392" s="3" t="s">
        <v>12</v>
      </c>
      <c r="M392" s="1" t="s">
        <v>12</v>
      </c>
    </row>
    <row r="393">
      <c r="A393" s="4" t="str">
        <f>hyperlink("http://historiamujeres.es/mujerg.html#Guzman_Ortega","Guzmán Ortega, Carmen")</f>
        <v>Guzmán Ortega, Carmen</v>
      </c>
      <c r="B393" s="1" t="s">
        <v>12</v>
      </c>
      <c r="C393" s="1" t="s">
        <v>929</v>
      </c>
      <c r="D393" s="1" t="s">
        <v>12</v>
      </c>
      <c r="E393" s="1" t="s">
        <v>98</v>
      </c>
      <c r="F393" s="5">
        <v>1960.0</v>
      </c>
      <c r="G393" s="6" t="s">
        <v>17</v>
      </c>
      <c r="H393" s="1" t="s">
        <v>12</v>
      </c>
      <c r="I393" s="1">
        <v>2006.0</v>
      </c>
      <c r="J393" s="1" t="s">
        <v>216</v>
      </c>
      <c r="K393" s="1" t="s">
        <v>59</v>
      </c>
      <c r="L393" s="3" t="s">
        <v>12</v>
      </c>
      <c r="M393" s="1" t="s">
        <v>12</v>
      </c>
    </row>
    <row r="394">
      <c r="A394" s="4" t="str">
        <f>hyperlink("http://historiamujeres.es/mujerg.html#Guzman","Guzmán y la Cerda, María Isidra Quintina de")</f>
        <v>Guzmán y la Cerda, María Isidra Quintina de</v>
      </c>
      <c r="B394" s="1" t="s">
        <v>12</v>
      </c>
      <c r="C394" s="1" t="s">
        <v>68</v>
      </c>
      <c r="D394" s="1" t="s">
        <v>24</v>
      </c>
      <c r="E394" s="1" t="s">
        <v>12</v>
      </c>
      <c r="F394" s="2">
        <v>1767.0</v>
      </c>
      <c r="G394" s="1" t="s">
        <v>12</v>
      </c>
      <c r="H394" s="1">
        <v>1803.0</v>
      </c>
      <c r="I394" s="1" t="s">
        <v>12</v>
      </c>
      <c r="J394" s="1" t="s">
        <v>930</v>
      </c>
      <c r="K394" s="1" t="s">
        <v>12</v>
      </c>
      <c r="L394" s="3" t="s">
        <v>12</v>
      </c>
      <c r="M394" s="1" t="s">
        <v>931</v>
      </c>
    </row>
    <row r="395">
      <c r="A395" s="4" t="str">
        <f>hyperlink("http://historiamujeres.es/mujerg.html#Guzman_lu","Guzmán y Sandoval, Luisa de")</f>
        <v>Guzmán y Sandoval, Luisa de</v>
      </c>
      <c r="B395" s="1" t="s">
        <v>12</v>
      </c>
      <c r="C395" s="1" t="s">
        <v>129</v>
      </c>
      <c r="D395" s="1" t="s">
        <v>932</v>
      </c>
      <c r="E395" s="1" t="s">
        <v>12</v>
      </c>
      <c r="F395" s="2">
        <v>1613.0</v>
      </c>
      <c r="G395" s="1" t="s">
        <v>12</v>
      </c>
      <c r="H395" s="1">
        <v>1666.0</v>
      </c>
      <c r="I395" s="1" t="s">
        <v>12</v>
      </c>
      <c r="J395" s="1" t="s">
        <v>933</v>
      </c>
      <c r="K395" s="1" t="s">
        <v>12</v>
      </c>
      <c r="L395" s="3" t="s">
        <v>12</v>
      </c>
      <c r="M395" s="1" t="s">
        <v>12</v>
      </c>
    </row>
    <row r="396">
      <c r="A396" s="4" t="str">
        <f>hyperlink("http://historiamujeres.es/mujerg.html#Guzman_Ines","Guzmán, Inés María")</f>
        <v>Guzmán, Inés María</v>
      </c>
      <c r="B396" s="1" t="s">
        <v>12</v>
      </c>
      <c r="C396" s="1" t="s">
        <v>934</v>
      </c>
      <c r="D396" s="1" t="s">
        <v>12</v>
      </c>
      <c r="E396" s="1" t="s">
        <v>98</v>
      </c>
      <c r="F396" s="5">
        <v>1955.0</v>
      </c>
      <c r="G396" s="6" t="s">
        <v>17</v>
      </c>
      <c r="H396" s="1" t="s">
        <v>12</v>
      </c>
      <c r="I396" s="1" t="s">
        <v>12</v>
      </c>
      <c r="J396" s="1" t="s">
        <v>216</v>
      </c>
      <c r="K396" s="1" t="s">
        <v>12</v>
      </c>
      <c r="L396" s="3" t="s">
        <v>12</v>
      </c>
      <c r="M396" s="1" t="s">
        <v>12</v>
      </c>
    </row>
    <row r="397">
      <c r="A397" s="7" t="str">
        <f>hyperlink("http://historiamujeres.es/mujerh.html#Habla","Habla de las mujeres andaluzas, Sobre él")</f>
        <v>Habla de las mujeres andaluzas, Sobre él</v>
      </c>
      <c r="B397" s="1" t="s">
        <v>12</v>
      </c>
      <c r="C397" s="9" t="s">
        <v>26</v>
      </c>
      <c r="D397" s="9" t="s">
        <v>26</v>
      </c>
      <c r="E397" s="1" t="s">
        <v>12</v>
      </c>
      <c r="F397" s="9">
        <v>1952.0</v>
      </c>
      <c r="G397" s="1" t="s">
        <v>12</v>
      </c>
      <c r="H397" s="9" t="s">
        <v>12</v>
      </c>
      <c r="I397" s="9" t="s">
        <v>12</v>
      </c>
      <c r="J397" s="9" t="s">
        <v>935</v>
      </c>
      <c r="K397" s="1" t="s">
        <v>12</v>
      </c>
      <c r="L397" s="3" t="s">
        <v>12</v>
      </c>
      <c r="M397" s="47" t="s">
        <v>936</v>
      </c>
    </row>
    <row r="398">
      <c r="A398" s="4" t="str">
        <f>hyperlink("http://historiamujeres.es/mujerh.html#HAFSA","Hafsa bint al-Hayy al-Rakuniyya")</f>
        <v>Hafsa bint al-Hayy al-Rakuniyya</v>
      </c>
      <c r="B398" s="1" t="s">
        <v>937</v>
      </c>
      <c r="C398" s="1" t="s">
        <v>30</v>
      </c>
      <c r="D398" s="1" t="s">
        <v>938</v>
      </c>
      <c r="E398" s="1" t="s">
        <v>12</v>
      </c>
      <c r="F398" s="2">
        <v>1135.0</v>
      </c>
      <c r="G398" s="1" t="s">
        <v>12</v>
      </c>
      <c r="H398" s="1">
        <v>1191.0</v>
      </c>
      <c r="I398" s="1" t="s">
        <v>12</v>
      </c>
      <c r="J398" s="1" t="s">
        <v>187</v>
      </c>
      <c r="K398" s="1" t="s">
        <v>12</v>
      </c>
      <c r="L398" s="3" t="s">
        <v>12</v>
      </c>
      <c r="M398" s="1" t="s">
        <v>939</v>
      </c>
    </row>
    <row r="399">
      <c r="A399" s="4" t="str">
        <f>hyperlink("http://historiamujeres.es/mujerh.html#Hamda","Hamda bint Ziyad")</f>
        <v>Hamda bint Ziyad</v>
      </c>
      <c r="B399" s="1" t="s">
        <v>940</v>
      </c>
      <c r="C399" s="1" t="s">
        <v>941</v>
      </c>
      <c r="D399" s="1" t="s">
        <v>12</v>
      </c>
      <c r="E399" s="1" t="s">
        <v>12</v>
      </c>
      <c r="F399" s="5">
        <v>1125.0</v>
      </c>
      <c r="G399" s="6" t="s">
        <v>43</v>
      </c>
      <c r="H399" s="6">
        <v>1185.0</v>
      </c>
      <c r="I399" s="1" t="s">
        <v>12</v>
      </c>
      <c r="J399" s="1" t="s">
        <v>187</v>
      </c>
      <c r="K399" s="1" t="s">
        <v>12</v>
      </c>
      <c r="L399" s="3" t="s">
        <v>12</v>
      </c>
      <c r="M399" s="1" t="s">
        <v>942</v>
      </c>
    </row>
    <row r="400">
      <c r="A400" s="4" t="str">
        <f>hyperlink("http://historiamujeres.es/mujerh.html#Haro","Haro, Rafaelita de")</f>
        <v>Haro, Rafaelita de</v>
      </c>
      <c r="B400" s="1" t="s">
        <v>943</v>
      </c>
      <c r="C400" s="1" t="s">
        <v>944</v>
      </c>
      <c r="D400" s="1" t="s">
        <v>68</v>
      </c>
      <c r="E400" s="1" t="s">
        <v>945</v>
      </c>
      <c r="F400" s="2">
        <v>1889.0</v>
      </c>
      <c r="G400" s="1" t="s">
        <v>12</v>
      </c>
      <c r="H400" s="1">
        <v>1940.0</v>
      </c>
      <c r="I400" s="1" t="s">
        <v>12</v>
      </c>
      <c r="J400" s="1" t="s">
        <v>946</v>
      </c>
      <c r="K400" s="1" t="s">
        <v>947</v>
      </c>
      <c r="L400" s="3" t="s">
        <v>12</v>
      </c>
      <c r="M400" s="1" t="s">
        <v>948</v>
      </c>
    </row>
    <row r="401">
      <c r="A401" s="4" t="str">
        <f>hyperlink("http://historiamujeres.es/mujerh.html#Hazana","Hazaña at-Taminiyya")</f>
        <v>Hazaña at-Taminiyya</v>
      </c>
      <c r="B401" s="1" t="s">
        <v>949</v>
      </c>
      <c r="C401" s="1" t="s">
        <v>950</v>
      </c>
      <c r="D401" s="1" t="s">
        <v>12</v>
      </c>
      <c r="E401" s="1" t="s">
        <v>12</v>
      </c>
      <c r="F401" s="5">
        <v>775.0</v>
      </c>
      <c r="G401" s="6" t="s">
        <v>43</v>
      </c>
      <c r="H401" s="6">
        <v>835.0</v>
      </c>
      <c r="I401" s="1" t="s">
        <v>12</v>
      </c>
      <c r="J401" s="1" t="s">
        <v>187</v>
      </c>
      <c r="K401" s="1" t="s">
        <v>12</v>
      </c>
      <c r="L401" s="3" t="s">
        <v>12</v>
      </c>
      <c r="M401" s="1" t="s">
        <v>951</v>
      </c>
    </row>
    <row r="402">
      <c r="A402" s="4" t="str">
        <f>hyperlink("http://historiamujeres.es/mujerh.html#Helvia","Helvia")</f>
        <v>Helvia</v>
      </c>
      <c r="B402" s="1" t="s">
        <v>12</v>
      </c>
      <c r="C402" s="1" t="s">
        <v>952</v>
      </c>
      <c r="D402" s="1" t="s">
        <v>12</v>
      </c>
      <c r="E402" s="1" t="s">
        <v>953</v>
      </c>
      <c r="F402" s="5">
        <v>-20.0</v>
      </c>
      <c r="G402" s="6" t="s">
        <v>43</v>
      </c>
      <c r="H402" s="6">
        <v>50.0</v>
      </c>
      <c r="I402" s="1">
        <v>-4.0</v>
      </c>
      <c r="J402" s="1" t="s">
        <v>954</v>
      </c>
      <c r="K402" s="1" t="s">
        <v>35</v>
      </c>
      <c r="L402" s="3" t="s">
        <v>12</v>
      </c>
      <c r="M402" s="1" t="s">
        <v>955</v>
      </c>
    </row>
    <row r="403">
      <c r="A403" s="24" t="s">
        <v>956</v>
      </c>
      <c r="B403" s="9" t="s">
        <v>12</v>
      </c>
      <c r="C403" s="9" t="s">
        <v>205</v>
      </c>
      <c r="D403" s="9" t="s">
        <v>957</v>
      </c>
      <c r="E403" s="9" t="s">
        <v>12</v>
      </c>
      <c r="F403" s="15">
        <v>1842.0</v>
      </c>
      <c r="G403" s="9" t="s">
        <v>12</v>
      </c>
      <c r="H403" s="9">
        <v>1943.0</v>
      </c>
      <c r="I403" s="9" t="s">
        <v>12</v>
      </c>
      <c r="J403" s="9" t="s">
        <v>958</v>
      </c>
      <c r="K403" s="9" t="s">
        <v>959</v>
      </c>
      <c r="L403" s="14" t="s">
        <v>12</v>
      </c>
      <c r="M403" s="9" t="s">
        <v>960</v>
      </c>
    </row>
    <row r="404">
      <c r="A404" s="7" t="str">
        <f>hyperlink("http://historiamujeres.es/mujerh.html#Herbil","Herbil Y Silva , Eloisa D'")</f>
        <v>Herbil Y Silva , Eloisa D'</v>
      </c>
      <c r="B404" s="1" t="s">
        <v>12</v>
      </c>
      <c r="C404" s="48" t="s">
        <v>205</v>
      </c>
      <c r="D404" s="9" t="s">
        <v>740</v>
      </c>
      <c r="E404" s="1" t="s">
        <v>12</v>
      </c>
      <c r="F404" s="49">
        <v>1847.0</v>
      </c>
      <c r="G404" s="8" t="s">
        <v>12</v>
      </c>
      <c r="H404" s="48">
        <v>1943.0</v>
      </c>
      <c r="I404" s="1" t="s">
        <v>12</v>
      </c>
      <c r="J404" s="9" t="s">
        <v>961</v>
      </c>
      <c r="K404" s="9" t="s">
        <v>669</v>
      </c>
      <c r="L404" s="3" t="s">
        <v>12</v>
      </c>
      <c r="M404" s="9" t="s">
        <v>962</v>
      </c>
    </row>
    <row r="405">
      <c r="A405" s="4" t="str">
        <f>hyperlink("http://historiamujeres.es/mujerh.html#Herediaant","Heredia , Antonia de la Flor")</f>
        <v>Heredia , Antonia de la Flor</v>
      </c>
      <c r="B405" s="1" t="s">
        <v>12</v>
      </c>
      <c r="C405" s="1" t="s">
        <v>30</v>
      </c>
      <c r="D405" s="1" t="s">
        <v>12</v>
      </c>
      <c r="E405" s="1" t="s">
        <v>12</v>
      </c>
      <c r="F405" s="2">
        <v>1974.0</v>
      </c>
      <c r="G405" s="1" t="s">
        <v>12</v>
      </c>
      <c r="H405" s="1" t="s">
        <v>12</v>
      </c>
      <c r="I405" s="1" t="s">
        <v>12</v>
      </c>
      <c r="J405" s="1" t="s">
        <v>963</v>
      </c>
      <c r="K405" s="1" t="s">
        <v>12</v>
      </c>
      <c r="L405" s="3" t="s">
        <v>12</v>
      </c>
      <c r="M405" s="1" t="s">
        <v>12</v>
      </c>
    </row>
    <row r="406">
      <c r="A406" s="4" t="str">
        <f>hyperlink("http://historiamujeres.es/mujerh.html#Herediahe","Heredia Heredia, Judea")</f>
        <v>Heredia Heredia, Judea</v>
      </c>
      <c r="B406" s="1" t="s">
        <v>12</v>
      </c>
      <c r="C406" s="1" t="s">
        <v>30</v>
      </c>
      <c r="D406" s="1" t="s">
        <v>12</v>
      </c>
      <c r="E406" s="1" t="s">
        <v>12</v>
      </c>
      <c r="F406" s="2">
        <v>1976.0</v>
      </c>
      <c r="G406" s="1" t="s">
        <v>12</v>
      </c>
      <c r="H406" s="1" t="s">
        <v>12</v>
      </c>
      <c r="I406" s="1" t="s">
        <v>12</v>
      </c>
      <c r="J406" s="1" t="s">
        <v>65</v>
      </c>
      <c r="K406" s="1" t="s">
        <v>12</v>
      </c>
      <c r="L406" s="3" t="s">
        <v>12</v>
      </c>
      <c r="M406" s="1" t="s">
        <v>12</v>
      </c>
    </row>
    <row r="407">
      <c r="A407" s="4" t="str">
        <f>hyperlink("http://historiamujeres.es/mujerh.html#Heredia_He","Heredia Herrera, Antonia")</f>
        <v>Heredia Herrera, Antonia</v>
      </c>
      <c r="B407" s="1" t="s">
        <v>12</v>
      </c>
      <c r="C407" s="1" t="s">
        <v>27</v>
      </c>
      <c r="D407" s="1" t="s">
        <v>12</v>
      </c>
      <c r="E407" s="1" t="s">
        <v>64</v>
      </c>
      <c r="F407" s="5">
        <v>1950.0</v>
      </c>
      <c r="G407" s="6" t="s">
        <v>17</v>
      </c>
      <c r="H407" s="1" t="s">
        <v>12</v>
      </c>
      <c r="I407" s="1">
        <v>1986.0</v>
      </c>
      <c r="J407" s="1" t="s">
        <v>964</v>
      </c>
      <c r="K407" s="1" t="s">
        <v>22</v>
      </c>
      <c r="L407" s="3" t="s">
        <v>12</v>
      </c>
      <c r="M407" s="1" t="s">
        <v>965</v>
      </c>
    </row>
    <row r="408">
      <c r="A408" s="4" t="str">
        <f>hyperlink("http://historiamujeres.es/mujerh.html#Heredia","Heredia Liverm o re, Amalia")</f>
        <v>Heredia Liverm o re, Amalia</v>
      </c>
      <c r="B408" s="1" t="s">
        <v>966</v>
      </c>
      <c r="C408" s="1" t="s">
        <v>967</v>
      </c>
      <c r="D408" s="1" t="s">
        <v>967</v>
      </c>
      <c r="E408" s="1" t="s">
        <v>12</v>
      </c>
      <c r="F408" s="2">
        <v>1830.0</v>
      </c>
      <c r="G408" s="1" t="s">
        <v>12</v>
      </c>
      <c r="H408" s="1">
        <v>1902.0</v>
      </c>
      <c r="I408" s="1" t="s">
        <v>12</v>
      </c>
      <c r="J408" s="1" t="s">
        <v>576</v>
      </c>
      <c r="K408" s="1" t="s">
        <v>968</v>
      </c>
      <c r="L408" s="3" t="s">
        <v>12</v>
      </c>
      <c r="M408" s="1" t="s">
        <v>12</v>
      </c>
    </row>
    <row r="409">
      <c r="A409" s="4" t="str">
        <f>hyperlink("http://historiamujeres.es/mujerh.html#Herediap","Heredia Pérez, Candelaria")</f>
        <v>Heredia Pérez, Candelaria</v>
      </c>
      <c r="B409" s="1" t="s">
        <v>12</v>
      </c>
      <c r="C409" s="1" t="s">
        <v>33</v>
      </c>
      <c r="D409" s="1" t="s">
        <v>12</v>
      </c>
      <c r="E409" s="1" t="s">
        <v>12</v>
      </c>
      <c r="F409" s="2">
        <v>1953.0</v>
      </c>
      <c r="G409" s="1" t="s">
        <v>12</v>
      </c>
      <c r="H409" s="1" t="s">
        <v>12</v>
      </c>
      <c r="I409" s="1" t="s">
        <v>12</v>
      </c>
      <c r="J409" s="1" t="s">
        <v>174</v>
      </c>
      <c r="K409" s="1" t="s">
        <v>12</v>
      </c>
      <c r="L409" s="3" t="s">
        <v>12</v>
      </c>
      <c r="M409" s="1" t="s">
        <v>12</v>
      </c>
    </row>
    <row r="410">
      <c r="A410" s="4" t="str">
        <f>hyperlink("http://historiamujeres.es/mujerh.html#HERMANAS","Hermanas de la Cruz")</f>
        <v>Hermanas de la Cruz</v>
      </c>
      <c r="B410" s="1" t="s">
        <v>12</v>
      </c>
      <c r="C410" s="1" t="s">
        <v>27</v>
      </c>
      <c r="D410" s="1" t="s">
        <v>12</v>
      </c>
      <c r="E410" s="1" t="s">
        <v>12</v>
      </c>
      <c r="F410" s="2">
        <v>1875.0</v>
      </c>
      <c r="G410" s="1" t="s">
        <v>12</v>
      </c>
      <c r="H410" s="1" t="s">
        <v>12</v>
      </c>
      <c r="I410" s="1" t="s">
        <v>12</v>
      </c>
      <c r="J410" s="1" t="s">
        <v>228</v>
      </c>
      <c r="K410" s="1" t="s">
        <v>12</v>
      </c>
      <c r="L410" s="3" t="s">
        <v>12</v>
      </c>
      <c r="M410" s="1" t="s">
        <v>12</v>
      </c>
    </row>
    <row r="411">
      <c r="A411" s="7" t="str">
        <f>hyperlink("http://historiamujeres.es/mujerh.html#Hermosilla","Hermosilla Ramírez. Francisca")</f>
        <v>Hermosilla Ramírez. Francisca</v>
      </c>
      <c r="B411" s="9" t="s">
        <v>12</v>
      </c>
      <c r="C411" s="9" t="s">
        <v>969</v>
      </c>
      <c r="D411" s="1" t="s">
        <v>12</v>
      </c>
      <c r="E411" s="1" t="s">
        <v>12</v>
      </c>
      <c r="F411" s="9">
        <v>1931.0</v>
      </c>
      <c r="G411" s="1" t="s">
        <v>12</v>
      </c>
      <c r="H411" s="1" t="s">
        <v>12</v>
      </c>
      <c r="I411" s="1" t="s">
        <v>12</v>
      </c>
      <c r="J411" s="9" t="s">
        <v>970</v>
      </c>
      <c r="K411" s="1" t="s">
        <v>12</v>
      </c>
      <c r="L411" s="3" t="s">
        <v>12</v>
      </c>
      <c r="M411" s="42" t="s">
        <v>971</v>
      </c>
    </row>
    <row r="412">
      <c r="A412" s="4" t="str">
        <f>hyperlink("http://historiamujeres.es/mujerh.html#Hermosn","Hermosín Bono, María del Carmen")</f>
        <v>Hermosín Bono, María del Carmen</v>
      </c>
      <c r="B412" s="1" t="s">
        <v>12</v>
      </c>
      <c r="C412" s="1" t="s">
        <v>27</v>
      </c>
      <c r="D412" s="1" t="s">
        <v>12</v>
      </c>
      <c r="E412" s="1" t="s">
        <v>12</v>
      </c>
      <c r="F412" s="2">
        <v>1945.0</v>
      </c>
      <c r="G412" s="1" t="s">
        <v>12</v>
      </c>
      <c r="H412" s="1" t="s">
        <v>12</v>
      </c>
      <c r="I412" s="1" t="s">
        <v>12</v>
      </c>
      <c r="J412" s="1" t="s">
        <v>171</v>
      </c>
      <c r="K412" s="1" t="s">
        <v>12</v>
      </c>
      <c r="L412" s="3" t="s">
        <v>12</v>
      </c>
      <c r="M412" s="1" t="s">
        <v>12</v>
      </c>
    </row>
    <row r="413">
      <c r="A413" s="4" t="str">
        <f>hyperlink("http://historiamujeres.es/mujerh.html#Hernandezyes","Hernández y Espinosa, Maria del Carmen")</f>
        <v>Hernández y Espinosa, Maria del Carmen</v>
      </c>
      <c r="B413" s="1" t="s">
        <v>972</v>
      </c>
      <c r="C413" s="1" t="s">
        <v>973</v>
      </c>
      <c r="D413" s="1" t="s">
        <v>68</v>
      </c>
      <c r="E413" s="1" t="s">
        <v>12</v>
      </c>
      <c r="F413" s="2">
        <v>1828.0</v>
      </c>
      <c r="G413" s="1" t="s">
        <v>12</v>
      </c>
      <c r="H413" s="1">
        <v>1894.0</v>
      </c>
      <c r="I413" s="1" t="s">
        <v>12</v>
      </c>
      <c r="J413" s="1" t="s">
        <v>974</v>
      </c>
      <c r="K413" s="1" t="s">
        <v>975</v>
      </c>
      <c r="L413" s="3" t="s">
        <v>12</v>
      </c>
      <c r="M413" s="1" t="s">
        <v>976</v>
      </c>
    </row>
    <row r="414">
      <c r="A414" s="4" t="str">
        <f>hyperlink("http://historiamujeres.es/mujerh.html#Hernandez-Pinzon","Hernández-Pinzón Moreno, Carmen")</f>
        <v>Hernández-Pinzón Moreno, Carmen</v>
      </c>
      <c r="B414" s="1" t="s">
        <v>12</v>
      </c>
      <c r="C414" s="1" t="s">
        <v>27</v>
      </c>
      <c r="D414" s="1" t="s">
        <v>12</v>
      </c>
      <c r="E414" s="1" t="s">
        <v>977</v>
      </c>
      <c r="F414" s="5">
        <v>1970.0</v>
      </c>
      <c r="G414" s="6" t="s">
        <v>17</v>
      </c>
      <c r="H414" s="1" t="s">
        <v>12</v>
      </c>
      <c r="I414" s="1">
        <v>2011.0</v>
      </c>
      <c r="J414" s="1" t="s">
        <v>815</v>
      </c>
      <c r="K414" s="1" t="s">
        <v>12</v>
      </c>
      <c r="L414" s="3" t="s">
        <v>12</v>
      </c>
      <c r="M414" s="1" t="s">
        <v>978</v>
      </c>
    </row>
    <row r="415">
      <c r="A415" s="4" t="str">
        <f>hyperlink("http://historiamujeres.es/mujerh.html#HERNNDEZa","Hernández, Azucena")</f>
        <v>Hernández, Azucena</v>
      </c>
      <c r="B415" s="1" t="s">
        <v>12</v>
      </c>
      <c r="C415" s="1" t="s">
        <v>27</v>
      </c>
      <c r="D415" s="1" t="s">
        <v>12</v>
      </c>
      <c r="E415" s="1" t="s">
        <v>12</v>
      </c>
      <c r="F415" s="2">
        <v>1960.0</v>
      </c>
      <c r="G415" s="1" t="s">
        <v>12</v>
      </c>
      <c r="H415" s="1" t="s">
        <v>12</v>
      </c>
      <c r="I415" s="1" t="s">
        <v>12</v>
      </c>
      <c r="J415" s="1" t="s">
        <v>214</v>
      </c>
      <c r="K415" s="1" t="s">
        <v>12</v>
      </c>
      <c r="L415" s="3" t="s">
        <v>12</v>
      </c>
      <c r="M415" s="1" t="s">
        <v>12</v>
      </c>
    </row>
    <row r="416">
      <c r="A416" s="4" t="str">
        <f>hyperlink("http://historiamujeres.es/mujera.html#Abrucena","Hernández, Manuela")</f>
        <v>Hernández, Manuela</v>
      </c>
      <c r="B416" s="1" t="s">
        <v>12</v>
      </c>
      <c r="C416" s="1" t="s">
        <v>13</v>
      </c>
      <c r="D416" s="1" t="s">
        <v>12</v>
      </c>
      <c r="E416" s="1" t="s">
        <v>979</v>
      </c>
      <c r="F416" s="2">
        <v>1927.0</v>
      </c>
      <c r="G416" s="1" t="s">
        <v>12</v>
      </c>
      <c r="H416" s="1" t="s">
        <v>12</v>
      </c>
      <c r="I416" s="1" t="s">
        <v>12</v>
      </c>
      <c r="J416" s="1" t="s">
        <v>980</v>
      </c>
      <c r="K416" s="1" t="s">
        <v>981</v>
      </c>
      <c r="L416" s="3" t="s">
        <v>982</v>
      </c>
      <c r="M416" s="1" t="s">
        <v>196</v>
      </c>
    </row>
    <row r="417">
      <c r="A417" s="4" t="str">
        <f>hyperlink("http://historiamujeres.es/mujerh.html#Hernandez_Maria","Hernández, María")</f>
        <v>Hernández, María</v>
      </c>
      <c r="B417" s="1" t="s">
        <v>12</v>
      </c>
      <c r="C417" s="1" t="s">
        <v>12</v>
      </c>
      <c r="D417" s="1" t="s">
        <v>12</v>
      </c>
      <c r="E417" s="1" t="s">
        <v>765</v>
      </c>
      <c r="F417" s="5">
        <v>1545.0</v>
      </c>
      <c r="G417" s="6" t="s">
        <v>43</v>
      </c>
      <c r="H417" s="6">
        <v>1605.0</v>
      </c>
      <c r="I417" s="1">
        <v>1571.0</v>
      </c>
      <c r="J417" s="1" t="s">
        <v>983</v>
      </c>
      <c r="K417" s="1" t="s">
        <v>12</v>
      </c>
      <c r="L417" s="3" t="s">
        <v>12</v>
      </c>
      <c r="M417" s="1" t="s">
        <v>984</v>
      </c>
    </row>
    <row r="418">
      <c r="A418" s="4" t="str">
        <f>hyperlink("http://historiamujeres.es/mujerh.html#HERNNZ","Hernánz Catalina, Ascensión")</f>
        <v>Hernánz Catalina, Ascensión</v>
      </c>
      <c r="B418" s="1" t="s">
        <v>12</v>
      </c>
      <c r="C418" s="1" t="s">
        <v>27</v>
      </c>
      <c r="D418" s="1" t="s">
        <v>12</v>
      </c>
      <c r="E418" s="1" t="s">
        <v>12</v>
      </c>
      <c r="F418" s="5">
        <v>1920.0</v>
      </c>
      <c r="G418" s="6" t="s">
        <v>43</v>
      </c>
      <c r="H418" s="6">
        <v>1995.0</v>
      </c>
      <c r="I418" s="1">
        <v>1956.0</v>
      </c>
      <c r="J418" s="1" t="s">
        <v>65</v>
      </c>
      <c r="K418" s="1" t="s">
        <v>12</v>
      </c>
      <c r="L418" s="3" t="s">
        <v>12</v>
      </c>
      <c r="M418" s="1" t="s">
        <v>12</v>
      </c>
    </row>
    <row r="419">
      <c r="A419" s="4" t="str">
        <f>hyperlink("http://historiamujeres.es/mujerh.html#Herranz","Herranz, Sor María")</f>
        <v>Herranz, Sor María</v>
      </c>
      <c r="B419" s="1" t="s">
        <v>12</v>
      </c>
      <c r="C419" s="1" t="s">
        <v>985</v>
      </c>
      <c r="D419" s="1" t="s">
        <v>12</v>
      </c>
      <c r="E419" s="1" t="s">
        <v>24</v>
      </c>
      <c r="F419" s="5">
        <v>1940.0</v>
      </c>
      <c r="G419" s="6" t="s">
        <v>17</v>
      </c>
      <c r="H419" s="1" t="s">
        <v>12</v>
      </c>
      <c r="I419" s="1" t="s">
        <v>12</v>
      </c>
      <c r="J419" s="1" t="s">
        <v>154</v>
      </c>
      <c r="K419" s="1" t="s">
        <v>602</v>
      </c>
      <c r="L419" s="3" t="s">
        <v>12</v>
      </c>
      <c r="M419" s="1" t="s">
        <v>12</v>
      </c>
    </row>
    <row r="420">
      <c r="A420" s="4" t="str">
        <f>hyperlink("http://historiamujeres.es/mujerh.html#Herrera","Herrera Barba, Ana")</f>
        <v>Herrera Barba, Ana</v>
      </c>
      <c r="B420" s="1" t="s">
        <v>12</v>
      </c>
      <c r="C420" s="1" t="s">
        <v>986</v>
      </c>
      <c r="D420" s="1" t="s">
        <v>12</v>
      </c>
      <c r="E420" s="1" t="s">
        <v>12</v>
      </c>
      <c r="F420" s="5">
        <v>1955.0</v>
      </c>
      <c r="G420" s="6" t="s">
        <v>17</v>
      </c>
      <c r="H420" s="1" t="s">
        <v>12</v>
      </c>
      <c r="I420" s="1">
        <v>2001.0</v>
      </c>
      <c r="J420" s="1" t="s">
        <v>113</v>
      </c>
      <c r="K420" s="1" t="s">
        <v>56</v>
      </c>
      <c r="L420" s="3" t="s">
        <v>987</v>
      </c>
      <c r="M420" s="1" t="s">
        <v>12</v>
      </c>
    </row>
    <row r="421">
      <c r="A421" s="4" t="str">
        <f>hyperlink("http://historiamujeres.es/mujerh.html#Herrera_G","Herrera Gómez, Carmen")</f>
        <v>Herrera Gómez, Carmen</v>
      </c>
      <c r="B421" s="1" t="s">
        <v>12</v>
      </c>
      <c r="C421" s="1" t="s">
        <v>988</v>
      </c>
      <c r="D421" s="1" t="s">
        <v>12</v>
      </c>
      <c r="E421" s="1" t="s">
        <v>12</v>
      </c>
      <c r="F421" s="2">
        <v>1974.0</v>
      </c>
      <c r="G421" s="1" t="s">
        <v>12</v>
      </c>
      <c r="H421" s="1" t="s">
        <v>12</v>
      </c>
      <c r="I421" s="1" t="s">
        <v>12</v>
      </c>
      <c r="J421" s="1" t="s">
        <v>989</v>
      </c>
      <c r="K421" s="1" t="s">
        <v>12</v>
      </c>
      <c r="L421" s="3" t="s">
        <v>12</v>
      </c>
      <c r="M421" s="1" t="s">
        <v>36</v>
      </c>
    </row>
    <row r="422">
      <c r="A422" s="4" t="str">
        <f>hyperlink("http://historiamujeres.es/mujerh.html#Hesperides","Hesperides, Las")</f>
        <v>Hesperides, Las</v>
      </c>
      <c r="B422" s="1" t="s">
        <v>12</v>
      </c>
      <c r="C422" s="1" t="s">
        <v>12</v>
      </c>
      <c r="D422" s="1" t="s">
        <v>12</v>
      </c>
      <c r="E422" s="1" t="s">
        <v>892</v>
      </c>
      <c r="F422" s="5">
        <v>-700.0</v>
      </c>
      <c r="G422" s="6" t="s">
        <v>17</v>
      </c>
      <c r="H422" s="1" t="s">
        <v>12</v>
      </c>
      <c r="I422" s="1" t="s">
        <v>12</v>
      </c>
      <c r="J422" s="1" t="s">
        <v>893</v>
      </c>
      <c r="K422" s="1" t="s">
        <v>12</v>
      </c>
      <c r="L422" s="3" t="s">
        <v>12</v>
      </c>
      <c r="M422" s="1" t="s">
        <v>12</v>
      </c>
    </row>
    <row r="423">
      <c r="A423" s="4" t="str">
        <f>hyperlink("http://historiamujeres.es/mujerh.html#Hidalgo","Hidalgo, Anne")</f>
        <v>Hidalgo, Anne</v>
      </c>
      <c r="B423" s="1" t="s">
        <v>12</v>
      </c>
      <c r="C423" s="1" t="s">
        <v>191</v>
      </c>
      <c r="D423" s="1" t="s">
        <v>12</v>
      </c>
      <c r="E423" s="1" t="s">
        <v>233</v>
      </c>
      <c r="F423" s="2">
        <v>1959.0</v>
      </c>
      <c r="G423" s="1" t="s">
        <v>12</v>
      </c>
      <c r="H423" s="1" t="s">
        <v>12</v>
      </c>
      <c r="I423" s="1" t="s">
        <v>12</v>
      </c>
      <c r="J423" s="1" t="s">
        <v>990</v>
      </c>
      <c r="K423" s="1" t="s">
        <v>590</v>
      </c>
      <c r="L423" s="3" t="s">
        <v>991</v>
      </c>
      <c r="M423" s="1" t="s">
        <v>992</v>
      </c>
    </row>
    <row r="424">
      <c r="A424" s="4" t="str">
        <f>hyperlink("http://historiamujeres.es/mujerh.html#Hijas-reg","Hijas de la Regeneración")</f>
        <v>Hijas de la Regeneración</v>
      </c>
      <c r="B424" s="1" t="s">
        <v>12</v>
      </c>
      <c r="C424" s="1" t="s">
        <v>205</v>
      </c>
      <c r="D424" s="1" t="s">
        <v>12</v>
      </c>
      <c r="E424" s="1" t="s">
        <v>12</v>
      </c>
      <c r="F424" s="2">
        <v>1895.0</v>
      </c>
      <c r="G424" s="1" t="s">
        <v>12</v>
      </c>
      <c r="H424" s="1">
        <v>1898.0</v>
      </c>
      <c r="I424" s="1" t="s">
        <v>12</v>
      </c>
      <c r="J424" s="1" t="s">
        <v>993</v>
      </c>
      <c r="K424" s="1" t="s">
        <v>12</v>
      </c>
      <c r="L424" s="3" t="s">
        <v>12</v>
      </c>
      <c r="M424" s="1" t="s">
        <v>12</v>
      </c>
    </row>
    <row r="425">
      <c r="A425" s="4" t="str">
        <f>hyperlink("http://historiamujeres.es/mujerh.html#HIJASmx","Hijas de María Auxiliadora")</f>
        <v>Hijas de María Auxiliadora</v>
      </c>
      <c r="B425" s="1" t="s">
        <v>12</v>
      </c>
      <c r="C425" s="1" t="s">
        <v>994</v>
      </c>
      <c r="D425" s="1" t="s">
        <v>12</v>
      </c>
      <c r="E425" s="1" t="s">
        <v>995</v>
      </c>
      <c r="F425" s="2">
        <v>1886.0</v>
      </c>
      <c r="G425" s="1" t="s">
        <v>12</v>
      </c>
      <c r="H425" s="1" t="s">
        <v>12</v>
      </c>
      <c r="I425" s="1" t="s">
        <v>12</v>
      </c>
      <c r="J425" s="1" t="s">
        <v>996</v>
      </c>
      <c r="K425" s="1" t="s">
        <v>228</v>
      </c>
      <c r="L425" s="3" t="s">
        <v>12</v>
      </c>
      <c r="M425" s="1" t="s">
        <v>12</v>
      </c>
    </row>
    <row r="426">
      <c r="A426" s="4" t="str">
        <f>hyperlink("http://historiamujeres.es/mujerh.html#HIJASpat","Hijas del Patrocionio de María")</f>
        <v>Hijas del Patrocionio de María</v>
      </c>
      <c r="B426" s="1" t="s">
        <v>12</v>
      </c>
      <c r="C426" s="1" t="s">
        <v>24</v>
      </c>
      <c r="D426" s="1" t="s">
        <v>12</v>
      </c>
      <c r="E426" s="1" t="s">
        <v>12</v>
      </c>
      <c r="F426" s="2">
        <v>1919.0</v>
      </c>
      <c r="G426" s="1" t="s">
        <v>12</v>
      </c>
      <c r="H426" s="1" t="s">
        <v>12</v>
      </c>
      <c r="I426" s="1" t="s">
        <v>12</v>
      </c>
      <c r="J426" s="1" t="s">
        <v>997</v>
      </c>
      <c r="K426" s="1" t="s">
        <v>12</v>
      </c>
      <c r="L426" s="3" t="s">
        <v>12</v>
      </c>
      <c r="M426" s="1" t="s">
        <v>12</v>
      </c>
    </row>
    <row r="427">
      <c r="A427" s="4" t="str">
        <f>hyperlink("http://historiamujeres.es/mujerh.html#Hombre","Hombre Ponzoa, Carmen")</f>
        <v>Hombre Ponzoa, Carmen</v>
      </c>
      <c r="B427" s="1" t="s">
        <v>12</v>
      </c>
      <c r="C427" s="1" t="s">
        <v>191</v>
      </c>
      <c r="D427" s="1" t="s">
        <v>12</v>
      </c>
      <c r="E427" s="1" t="s">
        <v>262</v>
      </c>
      <c r="F427" s="16">
        <v>1898.0</v>
      </c>
      <c r="G427" s="6" t="s">
        <v>92</v>
      </c>
      <c r="H427" s="6">
        <v>1937.0</v>
      </c>
      <c r="I427" s="1" t="s">
        <v>12</v>
      </c>
      <c r="J427" s="1" t="s">
        <v>771</v>
      </c>
      <c r="K427" s="1" t="s">
        <v>772</v>
      </c>
      <c r="L427" s="3" t="s">
        <v>773</v>
      </c>
      <c r="M427" s="1" t="s">
        <v>998</v>
      </c>
    </row>
    <row r="428">
      <c r="A428" s="4" t="str">
        <f>hyperlink("http://historiamujeres.es/mujerh.html#HORe","Hore Ley, María Gertrudis")</f>
        <v>Hore Ley, María Gertrudis</v>
      </c>
      <c r="B428" s="1" t="s">
        <v>999</v>
      </c>
      <c r="C428" s="1" t="s">
        <v>205</v>
      </c>
      <c r="D428" s="1" t="s">
        <v>205</v>
      </c>
      <c r="E428" s="1" t="s">
        <v>12</v>
      </c>
      <c r="F428" s="2">
        <v>1741.0</v>
      </c>
      <c r="G428" s="1" t="s">
        <v>12</v>
      </c>
      <c r="H428" s="1">
        <v>1801.0</v>
      </c>
      <c r="I428" s="1" t="s">
        <v>12</v>
      </c>
      <c r="J428" s="1" t="s">
        <v>216</v>
      </c>
      <c r="K428" s="1" t="s">
        <v>12</v>
      </c>
      <c r="L428" s="3" t="s">
        <v>12</v>
      </c>
      <c r="M428" s="1" t="s">
        <v>1000</v>
      </c>
    </row>
    <row r="429">
      <c r="A429" s="4" t="str">
        <f>hyperlink("http://historiamujeres.es/mujerh.html#Horna","Horna, Kati")</f>
        <v>Horna, Kati</v>
      </c>
      <c r="B429" s="1" t="s">
        <v>1001</v>
      </c>
      <c r="C429" s="1" t="s">
        <v>1002</v>
      </c>
      <c r="D429" s="1" t="s">
        <v>1003</v>
      </c>
      <c r="E429" s="1" t="s">
        <v>1004</v>
      </c>
      <c r="F429" s="16">
        <v>1912.0</v>
      </c>
      <c r="G429" s="17" t="s">
        <v>12</v>
      </c>
      <c r="H429" s="1">
        <v>2000.0</v>
      </c>
      <c r="I429" s="1" t="s">
        <v>12</v>
      </c>
      <c r="J429" s="1" t="s">
        <v>1005</v>
      </c>
      <c r="K429" s="1" t="s">
        <v>1006</v>
      </c>
      <c r="L429" s="3" t="s">
        <v>12</v>
      </c>
      <c r="M429" s="1" t="s">
        <v>1007</v>
      </c>
    </row>
    <row r="430">
      <c r="A430" s="4" t="str">
        <f>hyperlink("http://historiamujeres.es/mujerh.html#Hospital_de_Mujeres","Hospital de Mujeres")</f>
        <v>Hospital de Mujeres</v>
      </c>
      <c r="B430" s="1" t="s">
        <v>1008</v>
      </c>
      <c r="C430" s="1" t="s">
        <v>205</v>
      </c>
      <c r="D430" s="1" t="s">
        <v>205</v>
      </c>
      <c r="E430" s="1" t="s">
        <v>12</v>
      </c>
      <c r="F430" s="2">
        <v>1749.0</v>
      </c>
      <c r="G430" s="1" t="s">
        <v>12</v>
      </c>
      <c r="H430" s="1">
        <v>1963.0</v>
      </c>
      <c r="J430" s="1" t="s">
        <v>419</v>
      </c>
      <c r="K430" s="1" t="s">
        <v>12</v>
      </c>
      <c r="L430" s="3" t="s">
        <v>12</v>
      </c>
      <c r="M430" s="1" t="s">
        <v>1009</v>
      </c>
    </row>
    <row r="431">
      <c r="A431" s="4" t="str">
        <f>hyperlink("http://historiamujeres.es/mujerh.html#HOSPITALARIASna","Hospitalarias de Jesús Nazareno")</f>
        <v>Hospitalarias de Jesús Nazareno</v>
      </c>
      <c r="B431" s="1" t="s">
        <v>12</v>
      </c>
      <c r="C431" s="1" t="s">
        <v>24</v>
      </c>
      <c r="D431" s="1" t="s">
        <v>12</v>
      </c>
      <c r="E431" s="1" t="s">
        <v>995</v>
      </c>
      <c r="F431" s="2">
        <v>1763.0</v>
      </c>
      <c r="G431" s="1" t="s">
        <v>12</v>
      </c>
      <c r="H431" s="1" t="s">
        <v>12</v>
      </c>
      <c r="I431" s="1" t="s">
        <v>12</v>
      </c>
      <c r="J431" s="1" t="s">
        <v>1010</v>
      </c>
      <c r="K431" s="1" t="s">
        <v>228</v>
      </c>
      <c r="L431" s="3" t="s">
        <v>12</v>
      </c>
      <c r="M431" s="1" t="s">
        <v>12</v>
      </c>
    </row>
    <row r="432">
      <c r="A432" s="4" t="str">
        <f>hyperlink("http://historiamujeres.es/mujerh.html#HOSPITALARIASsa","Hospitalarias del Sagrado Corazón de Jesús")</f>
        <v>Hospitalarias del Sagrado Corazón de Jesús</v>
      </c>
      <c r="B432" s="1" t="s">
        <v>12</v>
      </c>
      <c r="C432" s="1" t="s">
        <v>1011</v>
      </c>
      <c r="D432" s="1" t="s">
        <v>12</v>
      </c>
      <c r="E432" s="1" t="s">
        <v>30</v>
      </c>
      <c r="F432" s="2">
        <v>1881.0</v>
      </c>
      <c r="G432" s="1" t="s">
        <v>12</v>
      </c>
      <c r="H432" s="1" t="s">
        <v>12</v>
      </c>
      <c r="I432" s="1" t="s">
        <v>12</v>
      </c>
      <c r="J432" s="1" t="s">
        <v>1012</v>
      </c>
      <c r="K432" s="1" t="s">
        <v>228</v>
      </c>
      <c r="L432" s="3" t="s">
        <v>12</v>
      </c>
      <c r="M432" s="1" t="s">
        <v>12</v>
      </c>
    </row>
    <row r="433">
      <c r="A433" s="4" t="str">
        <f>hyperlink("http://historiamujeres.es/mujerh.html#Hoyos","Hoyos Panadero, Cristina")</f>
        <v>Hoyos Panadero, Cristina</v>
      </c>
      <c r="B433" s="1" t="s">
        <v>12</v>
      </c>
      <c r="C433" s="1" t="s">
        <v>27</v>
      </c>
      <c r="D433" s="1" t="s">
        <v>12</v>
      </c>
      <c r="E433" s="1" t="s">
        <v>12</v>
      </c>
      <c r="F433" s="2">
        <v>1946.0</v>
      </c>
      <c r="G433" s="1" t="s">
        <v>12</v>
      </c>
      <c r="H433" s="1" t="s">
        <v>12</v>
      </c>
      <c r="I433" s="1" t="s">
        <v>12</v>
      </c>
      <c r="J433" s="1" t="s">
        <v>145</v>
      </c>
      <c r="K433" s="1" t="s">
        <v>12</v>
      </c>
      <c r="L433" s="3" t="s">
        <v>12</v>
      </c>
      <c r="M433" s="1" t="s">
        <v>36</v>
      </c>
    </row>
    <row r="434">
      <c r="A434" s="7" t="str">
        <f>hyperlink("http://historiamujeres.es/mujerh.html#Hueso","Hueso López, Gerónima")</f>
        <v>Hueso López, Gerónima</v>
      </c>
      <c r="B434" s="9" t="s">
        <v>12</v>
      </c>
      <c r="C434" s="9" t="s">
        <v>318</v>
      </c>
      <c r="D434" s="9" t="s">
        <v>12</v>
      </c>
      <c r="E434" s="9" t="s">
        <v>12</v>
      </c>
      <c r="F434" s="15">
        <v>1906.0</v>
      </c>
      <c r="G434" s="13" t="s">
        <v>92</v>
      </c>
      <c r="H434" s="13">
        <v>1955.0</v>
      </c>
      <c r="I434" s="9" t="s">
        <v>12</v>
      </c>
      <c r="J434" s="9" t="s">
        <v>126</v>
      </c>
      <c r="K434" s="9" t="s">
        <v>12</v>
      </c>
      <c r="L434" s="14" t="s">
        <v>12</v>
      </c>
      <c r="M434" s="9" t="s">
        <v>1013</v>
      </c>
    </row>
    <row r="435">
      <c r="A435" s="4" t="str">
        <f>hyperlink("http://historiamujeres.es/mujerh.html#Hurtado","Hurtado Cabrera, María Paz")</f>
        <v>Hurtado Cabrera, María Paz</v>
      </c>
      <c r="B435" s="1" t="s">
        <v>12</v>
      </c>
      <c r="C435" s="1" t="s">
        <v>27</v>
      </c>
      <c r="D435" s="1" t="s">
        <v>12</v>
      </c>
      <c r="E435" s="1" t="s">
        <v>12</v>
      </c>
      <c r="F435" s="2">
        <v>1958.0</v>
      </c>
      <c r="G435" s="1" t="s">
        <v>12</v>
      </c>
      <c r="H435" s="1" t="s">
        <v>12</v>
      </c>
      <c r="I435" s="1" t="s">
        <v>12</v>
      </c>
      <c r="J435" s="1" t="s">
        <v>1014</v>
      </c>
      <c r="K435" s="1" t="s">
        <v>12</v>
      </c>
      <c r="L435" s="3" t="s">
        <v>12</v>
      </c>
      <c r="M435" s="1" t="s">
        <v>220</v>
      </c>
    </row>
    <row r="436">
      <c r="A436" s="4" t="str">
        <f>hyperlink("http://historiamujeres.es/mujeri.html#Iberas","Iberas em Jaén, Mujeres")</f>
        <v>Iberas em Jaén, Mujeres</v>
      </c>
      <c r="B436" s="9" t="s">
        <v>12</v>
      </c>
      <c r="C436" s="9" t="s">
        <v>64</v>
      </c>
      <c r="D436" s="9" t="s">
        <v>1015</v>
      </c>
      <c r="E436" s="9" t="s">
        <v>12</v>
      </c>
      <c r="F436" s="15">
        <v>-650.0</v>
      </c>
      <c r="G436" s="9" t="s">
        <v>12</v>
      </c>
      <c r="H436" s="9">
        <v>-75.0</v>
      </c>
      <c r="I436" s="9" t="s">
        <v>12</v>
      </c>
      <c r="J436" s="9" t="s">
        <v>463</v>
      </c>
      <c r="K436" s="9" t="s">
        <v>12</v>
      </c>
      <c r="L436" s="19" t="s">
        <v>12</v>
      </c>
      <c r="M436" s="9" t="s">
        <v>12</v>
      </c>
    </row>
    <row r="437">
      <c r="A437" s="4" t="str">
        <f>hyperlink("http://historiamujeres.es/mujeri.html#Imilce","Imilce")</f>
        <v>Imilce</v>
      </c>
      <c r="B437" s="1" t="s">
        <v>1016</v>
      </c>
      <c r="C437" s="1" t="s">
        <v>1017</v>
      </c>
      <c r="D437" s="1" t="s">
        <v>1018</v>
      </c>
      <c r="E437" s="1" t="s">
        <v>12</v>
      </c>
      <c r="F437" s="5">
        <v>-240.0</v>
      </c>
      <c r="G437" s="6" t="s">
        <v>43</v>
      </c>
      <c r="H437" s="6">
        <v>-215.0</v>
      </c>
      <c r="I437" s="1">
        <v>-221.0</v>
      </c>
      <c r="J437" s="1" t="s">
        <v>1019</v>
      </c>
      <c r="K437" s="1" t="s">
        <v>12</v>
      </c>
      <c r="L437" s="3" t="s">
        <v>12</v>
      </c>
      <c r="M437" s="1" t="s">
        <v>1020</v>
      </c>
    </row>
    <row r="438">
      <c r="A438" s="4" t="str">
        <f>hyperlink("http://historiamujeres.es/mujeri.html#Inmigrantes_Marroquies","Inmigrantes Marroquíes en Huelva")</f>
        <v>Inmigrantes Marroquíes en Huelva</v>
      </c>
      <c r="B438" s="1" t="s">
        <v>12</v>
      </c>
      <c r="C438" s="1" t="s">
        <v>1021</v>
      </c>
      <c r="D438" s="1" t="s">
        <v>12</v>
      </c>
      <c r="E438" s="1" t="s">
        <v>129</v>
      </c>
      <c r="F438" s="5">
        <v>1970.0</v>
      </c>
      <c r="G438" s="6" t="s">
        <v>17</v>
      </c>
      <c r="H438" s="1" t="s">
        <v>12</v>
      </c>
      <c r="I438" s="1">
        <v>2011.0</v>
      </c>
      <c r="J438" s="1" t="s">
        <v>1022</v>
      </c>
      <c r="K438" s="1" t="s">
        <v>45</v>
      </c>
      <c r="L438" s="3" t="s">
        <v>12</v>
      </c>
      <c r="M438" s="1" t="s">
        <v>1023</v>
      </c>
    </row>
    <row r="439">
      <c r="A439" s="4" t="str">
        <f>hyperlink("http://historiamujeres.es/mujeri.html#Inmigran_hu","Inmigrantes, Trabajadoras")</f>
        <v>Inmigrantes, Trabajadoras</v>
      </c>
      <c r="B439" s="1" t="s">
        <v>1024</v>
      </c>
      <c r="C439" s="1" t="s">
        <v>1025</v>
      </c>
      <c r="D439" s="1" t="s">
        <v>12</v>
      </c>
      <c r="E439" s="1" t="s">
        <v>129</v>
      </c>
      <c r="F439" s="2">
        <v>2000.0</v>
      </c>
      <c r="G439" s="1" t="s">
        <v>12</v>
      </c>
      <c r="H439" s="1" t="s">
        <v>12</v>
      </c>
      <c r="I439" s="1" t="s">
        <v>12</v>
      </c>
      <c r="J439" s="1" t="s">
        <v>1026</v>
      </c>
      <c r="K439" s="1" t="s">
        <v>1027</v>
      </c>
      <c r="L439" s="3" t="s">
        <v>12</v>
      </c>
      <c r="M439" s="1" t="s">
        <v>12</v>
      </c>
    </row>
    <row r="440">
      <c r="A440" s="4" t="str">
        <f>hyperlink("http://historiamujeres.es/mujeri.html#Inquisicion","Inquisición. Mujeres condenadas en Almeria. Visita de 1561")</f>
        <v>Inquisición. Mujeres condenadas en Almeria. Visita de 1561</v>
      </c>
      <c r="B440" s="1" t="s">
        <v>12</v>
      </c>
      <c r="C440" s="1" t="s">
        <v>12</v>
      </c>
      <c r="D440" s="1" t="s">
        <v>12</v>
      </c>
      <c r="E440" s="1" t="s">
        <v>26</v>
      </c>
      <c r="F440" s="6">
        <v>1520.0</v>
      </c>
      <c r="G440" s="6" t="s">
        <v>17</v>
      </c>
      <c r="H440" s="1" t="s">
        <v>12</v>
      </c>
      <c r="I440" s="2">
        <v>1561.0</v>
      </c>
      <c r="J440" s="1" t="s">
        <v>48</v>
      </c>
      <c r="K440" s="1" t="s">
        <v>12</v>
      </c>
      <c r="L440" s="3" t="s">
        <v>12</v>
      </c>
      <c r="M440" s="1" t="s">
        <v>1028</v>
      </c>
    </row>
    <row r="441">
      <c r="A441" s="4" t="str">
        <f>hyperlink("http://historiamujeres.es/mujeri.html#IsabeCa","Isabel I de Castilla")</f>
        <v>Isabel I de Castilla</v>
      </c>
      <c r="B441" s="1" t="s">
        <v>1029</v>
      </c>
      <c r="C441" s="1" t="s">
        <v>1030</v>
      </c>
      <c r="D441" s="1" t="s">
        <v>1031</v>
      </c>
      <c r="E441" s="1" t="s">
        <v>1032</v>
      </c>
      <c r="F441" s="2">
        <v>1451.0</v>
      </c>
      <c r="G441" s="1" t="s">
        <v>12</v>
      </c>
      <c r="H441" s="1">
        <v>1504.0</v>
      </c>
      <c r="I441" s="1" t="s">
        <v>12</v>
      </c>
      <c r="J441" s="1" t="s">
        <v>75</v>
      </c>
      <c r="K441" s="1" t="s">
        <v>12</v>
      </c>
      <c r="L441" s="3" t="s">
        <v>12</v>
      </c>
      <c r="M441" s="1" t="s">
        <v>1033</v>
      </c>
    </row>
    <row r="442">
      <c r="A442" s="4" t="str">
        <f>hyperlink("http://historiamujeres.es/mujeri.html#Itimad ar-Rumaikiyya","Itimad ar-Rumaikiyya")</f>
        <v>Itimad ar-Rumaikiyya</v>
      </c>
      <c r="B442" s="1" t="s">
        <v>12</v>
      </c>
      <c r="C442" s="1" t="s">
        <v>27</v>
      </c>
      <c r="D442" s="1" t="s">
        <v>1034</v>
      </c>
      <c r="E442" s="1" t="s">
        <v>12</v>
      </c>
      <c r="F442" s="5">
        <v>1040.0</v>
      </c>
      <c r="G442" s="6" t="s">
        <v>43</v>
      </c>
      <c r="H442" s="6">
        <v>1200.0</v>
      </c>
      <c r="I442" s="1">
        <v>1191.0</v>
      </c>
      <c r="J442" s="1" t="s">
        <v>1035</v>
      </c>
      <c r="K442" s="1" t="s">
        <v>73</v>
      </c>
      <c r="L442" s="3" t="s">
        <v>12</v>
      </c>
      <c r="M442" s="1" t="s">
        <v>1036</v>
      </c>
    </row>
    <row r="443">
      <c r="A443" s="4" t="str">
        <f>hyperlink("http://historiamujeres.es/mujeri.html#Iturbide","Iturbide y Gurruchaga, Carmen")</f>
        <v>Iturbide y Gurruchaga, Carmen</v>
      </c>
      <c r="B443" s="1" t="s">
        <v>12</v>
      </c>
      <c r="C443" s="1" t="s">
        <v>1037</v>
      </c>
      <c r="D443" s="1" t="s">
        <v>12</v>
      </c>
      <c r="E443" s="1" t="s">
        <v>1038</v>
      </c>
      <c r="F443" s="2">
        <v>1901.0</v>
      </c>
      <c r="G443" s="1" t="s">
        <v>12</v>
      </c>
      <c r="H443" s="1">
        <v>1994.0</v>
      </c>
      <c r="I443" s="1" t="s">
        <v>12</v>
      </c>
      <c r="J443" s="1" t="s">
        <v>59</v>
      </c>
      <c r="K443" s="1" t="s">
        <v>12</v>
      </c>
      <c r="L443" s="3" t="s">
        <v>12</v>
      </c>
      <c r="M443" s="1" t="s">
        <v>12</v>
      </c>
    </row>
    <row r="444">
      <c r="A444" s="4" t="str">
        <f>hyperlink("http://historiamujeres.es/mujeri.html#Izquierdo_Labrado_Dolores","Izquierdo Labrado, Dolores")</f>
        <v>Izquierdo Labrado, Dolores</v>
      </c>
      <c r="B444" s="1" t="s">
        <v>12</v>
      </c>
      <c r="C444" s="1" t="s">
        <v>1039</v>
      </c>
      <c r="D444" s="1" t="s">
        <v>12</v>
      </c>
      <c r="E444" s="1" t="s">
        <v>1040</v>
      </c>
      <c r="F444" s="2">
        <v>1955.0</v>
      </c>
      <c r="G444" s="1" t="s">
        <v>12</v>
      </c>
      <c r="H444" s="1" t="s">
        <v>12</v>
      </c>
      <c r="I444" s="1" t="s">
        <v>12</v>
      </c>
      <c r="J444" s="1" t="s">
        <v>70</v>
      </c>
      <c r="K444" s="1" t="s">
        <v>12</v>
      </c>
      <c r="L444" s="3" t="s">
        <v>12</v>
      </c>
      <c r="M444" s="1" t="s">
        <v>12</v>
      </c>
    </row>
    <row r="445">
      <c r="A445" s="4" t="str">
        <f>hyperlink("http://historiamujeres.es/mujeri.html#IZQUIERDO","Izquierdo Rojo, María")</f>
        <v>Izquierdo Rojo, María</v>
      </c>
      <c r="B445" s="1" t="s">
        <v>12</v>
      </c>
      <c r="C445" s="1" t="s">
        <v>1041</v>
      </c>
      <c r="D445" s="1" t="s">
        <v>12</v>
      </c>
      <c r="E445" s="1" t="s">
        <v>30</v>
      </c>
      <c r="F445" s="2">
        <v>1946.0</v>
      </c>
      <c r="G445" s="1" t="s">
        <v>12</v>
      </c>
      <c r="H445" s="1" t="s">
        <v>12</v>
      </c>
      <c r="I445" s="1" t="s">
        <v>12</v>
      </c>
      <c r="J445" s="1" t="s">
        <v>171</v>
      </c>
      <c r="K445" s="1" t="s">
        <v>1042</v>
      </c>
      <c r="L445" s="3" t="s">
        <v>12</v>
      </c>
      <c r="M445" s="1" t="s">
        <v>12</v>
      </c>
    </row>
    <row r="446">
      <c r="A446" s="4" t="str">
        <f>hyperlink("http://historiamujeres.es/mujerj.html#Jayal","Jayal")</f>
        <v>Jayal</v>
      </c>
      <c r="B446" s="1" t="s">
        <v>12</v>
      </c>
      <c r="C446" s="1" t="s">
        <v>12</v>
      </c>
      <c r="D446" s="1" t="s">
        <v>26</v>
      </c>
      <c r="E446" s="1" t="s">
        <v>12</v>
      </c>
      <c r="F446" s="5">
        <v>1060.0</v>
      </c>
      <c r="G446" s="6" t="s">
        <v>92</v>
      </c>
      <c r="I446" s="16">
        <v>1121.0</v>
      </c>
      <c r="J446" s="1" t="s">
        <v>443</v>
      </c>
      <c r="K446" s="1" t="s">
        <v>1043</v>
      </c>
      <c r="L446" s="3" t="s">
        <v>12</v>
      </c>
      <c r="M446" s="1" t="s">
        <v>1044</v>
      </c>
    </row>
    <row r="447">
      <c r="A447" s="4" t="str">
        <f>hyperlink("http://historiamujeres.es/mujern.html#Ninhapu","Jiménez Alcántara, Dolores")</f>
        <v>Jiménez Alcántara, Dolores</v>
      </c>
      <c r="B447" s="1" t="s">
        <v>1045</v>
      </c>
      <c r="C447" s="1" t="s">
        <v>1046</v>
      </c>
      <c r="D447" s="1" t="s">
        <v>98</v>
      </c>
      <c r="E447" s="1" t="s">
        <v>12</v>
      </c>
      <c r="F447" s="2">
        <v>1909.0</v>
      </c>
      <c r="G447" s="1" t="s">
        <v>12</v>
      </c>
      <c r="H447" s="1">
        <v>1999.0</v>
      </c>
      <c r="I447" s="1" t="s">
        <v>12</v>
      </c>
      <c r="J447" s="1" t="s">
        <v>69</v>
      </c>
      <c r="K447" s="1" t="s">
        <v>12</v>
      </c>
      <c r="L447" s="3" t="s">
        <v>12</v>
      </c>
      <c r="M447" s="1" t="s">
        <v>1047</v>
      </c>
    </row>
    <row r="448">
      <c r="A448" s="4" t="str">
        <f>hyperlink("http://historiamujeres.es/mujerj.html#Jimenezhe","Jiménez Heredia, Elvira")</f>
        <v>Jiménez Heredia, Elvira</v>
      </c>
      <c r="B448" s="1" t="s">
        <v>12</v>
      </c>
      <c r="C448" s="1" t="s">
        <v>262</v>
      </c>
      <c r="D448" s="1" t="s">
        <v>12</v>
      </c>
      <c r="E448" s="1" t="s">
        <v>1048</v>
      </c>
      <c r="F448" s="2">
        <v>1950.0</v>
      </c>
      <c r="G448" s="1" t="s">
        <v>12</v>
      </c>
      <c r="H448" s="1" t="s">
        <v>12</v>
      </c>
      <c r="I448" s="1" t="s">
        <v>12</v>
      </c>
      <c r="J448" s="1" t="s">
        <v>1049</v>
      </c>
      <c r="K448" s="1" t="s">
        <v>12</v>
      </c>
      <c r="L448" s="3" t="s">
        <v>12</v>
      </c>
      <c r="M448" s="1" t="s">
        <v>12</v>
      </c>
    </row>
    <row r="449">
      <c r="A449" s="4" t="str">
        <f>hyperlink("http://historiamujeres.es/mujerb.html#Bernarda","Jiménez Peña, Bernarda")</f>
        <v>Jiménez Peña, Bernarda</v>
      </c>
      <c r="B449" s="1" t="s">
        <v>1050</v>
      </c>
      <c r="C449" s="1" t="s">
        <v>684</v>
      </c>
      <c r="D449" s="1" t="s">
        <v>12</v>
      </c>
      <c r="E449" s="1" t="s">
        <v>12</v>
      </c>
      <c r="F449" s="2">
        <v>1927.0</v>
      </c>
      <c r="G449" s="1" t="s">
        <v>12</v>
      </c>
      <c r="H449" s="1">
        <v>2009.0</v>
      </c>
      <c r="I449" s="1" t="s">
        <v>12</v>
      </c>
      <c r="J449" s="1" t="s">
        <v>69</v>
      </c>
      <c r="K449" s="1" t="s">
        <v>12</v>
      </c>
      <c r="L449" s="3" t="s">
        <v>12</v>
      </c>
      <c r="M449" s="1" t="s">
        <v>36</v>
      </c>
    </row>
    <row r="450">
      <c r="A450" s="4" t="str">
        <f>hyperlink("http://historiamujeres.es/mujerf.html#FERNANDAy","Jiménez Peña, Fernanda")</f>
        <v>Jiménez Peña, Fernanda</v>
      </c>
      <c r="B450" s="1" t="s">
        <v>1051</v>
      </c>
      <c r="C450" s="1" t="s">
        <v>684</v>
      </c>
      <c r="D450" s="1" t="s">
        <v>684</v>
      </c>
      <c r="E450" s="1" t="s">
        <v>12</v>
      </c>
      <c r="F450" s="2">
        <v>1923.0</v>
      </c>
      <c r="G450" s="1" t="s">
        <v>12</v>
      </c>
      <c r="H450" s="1">
        <v>2006.0</v>
      </c>
      <c r="I450" s="1" t="s">
        <v>12</v>
      </c>
      <c r="J450" s="1" t="s">
        <v>69</v>
      </c>
      <c r="K450" s="1" t="s">
        <v>12</v>
      </c>
      <c r="L450" s="3" t="s">
        <v>12</v>
      </c>
      <c r="M450" s="1" t="s">
        <v>12</v>
      </c>
    </row>
    <row r="451">
      <c r="A451" s="4" t="str">
        <f>hyperlink("http://historiamujeres.es/mujerj.html#Jodar","Jodar, Ana de")</f>
        <v>Jodar, Ana de</v>
      </c>
      <c r="B451" s="1" t="s">
        <v>12</v>
      </c>
      <c r="C451" s="1" t="s">
        <v>1052</v>
      </c>
      <c r="D451" s="1" t="s">
        <v>12</v>
      </c>
      <c r="E451" s="1" t="s">
        <v>765</v>
      </c>
      <c r="F451" s="2">
        <v>1627.0</v>
      </c>
      <c r="G451" s="1" t="s">
        <v>12</v>
      </c>
      <c r="H451" s="1" t="s">
        <v>12</v>
      </c>
      <c r="I451" s="1" t="s">
        <v>12</v>
      </c>
      <c r="J451" s="1" t="s">
        <v>1053</v>
      </c>
      <c r="K451" s="1" t="s">
        <v>1054</v>
      </c>
      <c r="L451" s="3" t="s">
        <v>12</v>
      </c>
      <c r="M451" s="1" t="s">
        <v>1055</v>
      </c>
    </row>
    <row r="452">
      <c r="A452" s="4" t="str">
        <f>hyperlink("http://historiamujeres.es/mujerj.html#Joya_Zea","Joya Zea, Enriqueta")</f>
        <v>Joya Zea, Enriqueta</v>
      </c>
      <c r="B452" s="1" t="s">
        <v>12</v>
      </c>
      <c r="C452" s="1" t="s">
        <v>1056</v>
      </c>
      <c r="D452" s="1" t="s">
        <v>12</v>
      </c>
      <c r="E452" s="1" t="s">
        <v>1056</v>
      </c>
      <c r="F452" s="2">
        <v>1899.0</v>
      </c>
      <c r="G452" s="1" t="s">
        <v>12</v>
      </c>
      <c r="H452" s="1">
        <v>1974.0</v>
      </c>
      <c r="I452" s="1" t="s">
        <v>12</v>
      </c>
      <c r="J452" s="1" t="s">
        <v>1057</v>
      </c>
      <c r="K452" s="1" t="s">
        <v>1058</v>
      </c>
      <c r="L452" s="3" t="s">
        <v>12</v>
      </c>
      <c r="M452" s="1" t="s">
        <v>12</v>
      </c>
    </row>
    <row r="453">
      <c r="A453" s="4" t="str">
        <f>hyperlink("http://historiamujeres.es/mujerj.html#Joyes","Joyes y Blake, Inés")</f>
        <v>Joyes y Blake, Inés</v>
      </c>
      <c r="B453" s="1" t="s">
        <v>12</v>
      </c>
      <c r="C453" s="1" t="s">
        <v>68</v>
      </c>
      <c r="D453" s="1" t="s">
        <v>12</v>
      </c>
      <c r="E453" s="1" t="s">
        <v>1059</v>
      </c>
      <c r="F453" s="16">
        <v>1731.0</v>
      </c>
      <c r="G453" s="6" t="s">
        <v>92</v>
      </c>
      <c r="H453" s="6">
        <v>1810.0</v>
      </c>
      <c r="I453" s="1" t="s">
        <v>12</v>
      </c>
      <c r="J453" s="1" t="s">
        <v>56</v>
      </c>
      <c r="K453" s="1" t="s">
        <v>1060</v>
      </c>
      <c r="L453" s="3" t="s">
        <v>12</v>
      </c>
      <c r="M453" s="1" t="s">
        <v>12</v>
      </c>
    </row>
    <row r="454">
      <c r="A454" s="4" t="str">
        <f>hyperlink("http://historiamujeres.es/vidas/junia-rufina.html","Junia Rufina")</f>
        <v>Junia Rufina</v>
      </c>
      <c r="B454" s="8" t="s">
        <v>12</v>
      </c>
      <c r="C454" s="8" t="s">
        <v>12</v>
      </c>
      <c r="D454" s="8" t="s">
        <v>1061</v>
      </c>
      <c r="E454" s="8" t="s">
        <v>12</v>
      </c>
      <c r="F454" s="50">
        <v>70.0</v>
      </c>
      <c r="G454" s="51" t="s">
        <v>43</v>
      </c>
      <c r="H454" s="50">
        <v>130.0</v>
      </c>
      <c r="I454" s="8" t="s">
        <v>201</v>
      </c>
      <c r="J454" s="8" t="s">
        <v>1062</v>
      </c>
      <c r="K454" s="8" t="s">
        <v>12</v>
      </c>
      <c r="L454" s="8" t="s">
        <v>12</v>
      </c>
      <c r="M454" s="8" t="s">
        <v>12</v>
      </c>
    </row>
    <row r="455">
      <c r="A455" s="4" t="str">
        <f>hyperlink("http://historiamujeres.es/mujerj.html#JURADO","Jurado Mohedano, Rocío")</f>
        <v>Jurado Mohedano, Rocío</v>
      </c>
      <c r="B455" s="1" t="s">
        <v>1063</v>
      </c>
      <c r="C455" s="1" t="s">
        <v>1064</v>
      </c>
      <c r="D455" s="1" t="s">
        <v>1065</v>
      </c>
      <c r="E455" s="1" t="s">
        <v>12</v>
      </c>
      <c r="F455" s="2">
        <v>1944.0</v>
      </c>
      <c r="G455" s="1" t="s">
        <v>12</v>
      </c>
      <c r="H455" s="1">
        <v>2006.0</v>
      </c>
      <c r="I455" s="1" t="s">
        <v>12</v>
      </c>
      <c r="J455" s="1" t="s">
        <v>717</v>
      </c>
      <c r="K455" s="1" t="s">
        <v>12</v>
      </c>
      <c r="L455" s="3" t="s">
        <v>12</v>
      </c>
      <c r="M455" s="1" t="s">
        <v>1066</v>
      </c>
    </row>
    <row r="456">
      <c r="A456" s="7" t="str">
        <f>hyperlink("http://historiamujeres.es/mujerj.html#Justa","Justa")</f>
        <v>Justa</v>
      </c>
      <c r="B456" s="9" t="s">
        <v>1067</v>
      </c>
      <c r="C456" s="9" t="s">
        <v>27</v>
      </c>
      <c r="D456" s="9" t="s">
        <v>27</v>
      </c>
      <c r="E456" s="9" t="s">
        <v>12</v>
      </c>
      <c r="F456" s="12">
        <v>268.0</v>
      </c>
      <c r="G456" s="13" t="s">
        <v>17</v>
      </c>
      <c r="H456" s="9">
        <v>287.0</v>
      </c>
      <c r="I456" s="9" t="s">
        <v>12</v>
      </c>
      <c r="J456" s="9" t="s">
        <v>1068</v>
      </c>
      <c r="K456" s="9" t="s">
        <v>1069</v>
      </c>
      <c r="L456" s="19" t="s">
        <v>1070</v>
      </c>
      <c r="M456" s="9" t="s">
        <v>1071</v>
      </c>
    </row>
    <row r="457">
      <c r="A457" s="4" t="str">
        <f>hyperlink("http://historiamujeres.es/mujerk.html#KENT","Kent Siano, Victoria")</f>
        <v>Kent Siano, Victoria</v>
      </c>
      <c r="B457" s="1" t="s">
        <v>98</v>
      </c>
      <c r="C457" s="1" t="s">
        <v>1072</v>
      </c>
      <c r="D457" s="1" t="s">
        <v>12</v>
      </c>
      <c r="E457" s="1" t="s">
        <v>12</v>
      </c>
      <c r="F457" s="2">
        <v>1892.0</v>
      </c>
      <c r="G457" s="1" t="s">
        <v>12</v>
      </c>
      <c r="H457" s="1">
        <v>1987.0</v>
      </c>
      <c r="I457" s="1" t="s">
        <v>12</v>
      </c>
      <c r="J457" s="1" t="s">
        <v>1073</v>
      </c>
      <c r="K457" s="1" t="s">
        <v>1074</v>
      </c>
      <c r="L457" s="3" t="s">
        <v>12</v>
      </c>
      <c r="M457" s="1" t="s">
        <v>1075</v>
      </c>
    </row>
    <row r="458">
      <c r="A458" s="4" t="str">
        <f>hyperlink("http://historiamujeres.es/mujerk.html#KENT","Komatsubara, Yoko")</f>
        <v>Komatsubara, Yoko</v>
      </c>
      <c r="B458" s="1" t="s">
        <v>12</v>
      </c>
      <c r="C458" s="1" t="s">
        <v>1076</v>
      </c>
      <c r="D458" s="1" t="s">
        <v>12</v>
      </c>
      <c r="E458" s="1" t="s">
        <v>12</v>
      </c>
      <c r="F458" s="5">
        <v>1935.0</v>
      </c>
      <c r="G458" s="6" t="s">
        <v>17</v>
      </c>
      <c r="H458" s="1" t="s">
        <v>12</v>
      </c>
      <c r="I458" s="1" t="s">
        <v>12</v>
      </c>
      <c r="J458" s="1" t="s">
        <v>145</v>
      </c>
      <c r="K458" s="1" t="s">
        <v>12</v>
      </c>
      <c r="L458" s="3" t="s">
        <v>12</v>
      </c>
      <c r="M458" s="1" t="s">
        <v>1077</v>
      </c>
    </row>
    <row r="459">
      <c r="A459" s="4" t="str">
        <f>hyperlink("http://historiamujeres.es/mujers.html#Sociedad","La Sociedad Autónoma de Mujeres en el barrio de Gracia")</f>
        <v>La Sociedad Autónoma de Mujeres en el barrio de Gracia</v>
      </c>
      <c r="B459" s="1" t="s">
        <v>12</v>
      </c>
      <c r="C459" s="1" t="s">
        <v>1078</v>
      </c>
      <c r="D459" s="1" t="s">
        <v>1078</v>
      </c>
      <c r="E459" s="1" t="s">
        <v>12</v>
      </c>
      <c r="F459" s="2">
        <v>1889.0</v>
      </c>
      <c r="G459" s="1" t="s">
        <v>12</v>
      </c>
      <c r="H459" s="1">
        <v>1892.0</v>
      </c>
      <c r="I459" s="1" t="s">
        <v>12</v>
      </c>
      <c r="J459" s="1" t="s">
        <v>179</v>
      </c>
      <c r="K459" s="1" t="s">
        <v>1079</v>
      </c>
      <c r="L459" s="3" t="s">
        <v>12</v>
      </c>
      <c r="M459" s="1" t="s">
        <v>1080</v>
      </c>
    </row>
    <row r="460">
      <c r="A460" s="4" t="str">
        <f>hyperlink("http://historiamujeres.es/mujeru.html#Union","La Unión Femenina del Librepensamiento. Huelva")</f>
        <v>La Unión Femenina del Librepensamiento. Huelva</v>
      </c>
      <c r="B460" s="1" t="s">
        <v>12</v>
      </c>
      <c r="C460" s="1" t="s">
        <v>129</v>
      </c>
      <c r="D460" s="1" t="s">
        <v>129</v>
      </c>
      <c r="E460" s="1" t="s">
        <v>12</v>
      </c>
      <c r="F460" s="2">
        <v>1897.0</v>
      </c>
      <c r="G460" s="1" t="s">
        <v>12</v>
      </c>
      <c r="H460" s="1">
        <v>1906.0</v>
      </c>
      <c r="I460" s="1" t="s">
        <v>12</v>
      </c>
      <c r="J460" s="1" t="s">
        <v>179</v>
      </c>
      <c r="K460" s="1" t="s">
        <v>1081</v>
      </c>
      <c r="L460" s="3" t="s">
        <v>12</v>
      </c>
      <c r="M460" s="1" t="s">
        <v>12</v>
      </c>
    </row>
    <row r="461">
      <c r="A461" s="4" t="str">
        <f>hyperlink("http://historiamujeres.es/mujerl.html#LAFFITE","Laffite y Pérez del Pulgar, María")</f>
        <v>Laffite y Pérez del Pulgar, María</v>
      </c>
      <c r="B461" s="1" t="s">
        <v>12</v>
      </c>
      <c r="C461" s="1" t="s">
        <v>27</v>
      </c>
      <c r="D461" s="1" t="s">
        <v>68</v>
      </c>
      <c r="E461" s="1" t="s">
        <v>12</v>
      </c>
      <c r="F461" s="2">
        <v>1902.0</v>
      </c>
      <c r="G461" s="1" t="s">
        <v>12</v>
      </c>
      <c r="H461" s="1">
        <v>1986.0</v>
      </c>
      <c r="I461" s="1" t="s">
        <v>12</v>
      </c>
      <c r="J461" s="1" t="s">
        <v>1082</v>
      </c>
      <c r="K461" s="1" t="s">
        <v>1083</v>
      </c>
      <c r="L461" s="3" t="s">
        <v>12</v>
      </c>
      <c r="M461" s="1" t="s">
        <v>12</v>
      </c>
    </row>
    <row r="462">
      <c r="A462" s="4" t="str">
        <f>hyperlink("http://historiamujeres.es/mujerl.html#LAFFON","Laffón de la Escosura, Carmen")</f>
        <v>Laffón de la Escosura, Carmen</v>
      </c>
      <c r="B462" s="1" t="s">
        <v>12</v>
      </c>
      <c r="C462" s="1" t="s">
        <v>27</v>
      </c>
      <c r="D462" s="1" t="s">
        <v>12</v>
      </c>
      <c r="E462" s="1" t="s">
        <v>12</v>
      </c>
      <c r="F462" s="2">
        <v>1934.0</v>
      </c>
      <c r="G462" s="1" t="s">
        <v>12</v>
      </c>
      <c r="H462" s="1" t="s">
        <v>12</v>
      </c>
      <c r="I462" s="1" t="s">
        <v>12</v>
      </c>
      <c r="J462" s="1" t="s">
        <v>1084</v>
      </c>
      <c r="K462" s="1" t="s">
        <v>12</v>
      </c>
      <c r="L462" s="3" t="s">
        <v>12</v>
      </c>
      <c r="M462" s="1" t="s">
        <v>1085</v>
      </c>
    </row>
    <row r="463">
      <c r="A463" s="4" t="str">
        <f>hyperlink("http://historiamujeres.es/mujerl.html#LAMADRID,","Lamadrid, Barbara ")</f>
        <v>Lamadrid, Barbara </v>
      </c>
      <c r="B463" s="1" t="s">
        <v>1086</v>
      </c>
      <c r="C463" s="1" t="s">
        <v>27</v>
      </c>
      <c r="D463" s="1" t="s">
        <v>68</v>
      </c>
      <c r="E463" s="1" t="s">
        <v>12</v>
      </c>
      <c r="F463" s="2">
        <v>1812.0</v>
      </c>
      <c r="G463" s="1" t="s">
        <v>12</v>
      </c>
      <c r="H463" s="1">
        <v>1893.0</v>
      </c>
      <c r="I463" s="1" t="s">
        <v>12</v>
      </c>
      <c r="J463" s="1" t="s">
        <v>946</v>
      </c>
      <c r="K463" s="1" t="s">
        <v>12</v>
      </c>
      <c r="L463" s="3" t="s">
        <v>12</v>
      </c>
      <c r="M463" s="1" t="s">
        <v>12</v>
      </c>
    </row>
    <row r="464">
      <c r="A464" s="24" t="s">
        <v>1087</v>
      </c>
      <c r="B464" s="1" t="s">
        <v>12</v>
      </c>
      <c r="C464" s="1" t="s">
        <v>1088</v>
      </c>
      <c r="D464" s="1" t="s">
        <v>1089</v>
      </c>
      <c r="E464" s="1" t="s">
        <v>1090</v>
      </c>
      <c r="F464" s="2">
        <v>1904.0</v>
      </c>
      <c r="G464" s="1" t="s">
        <v>12</v>
      </c>
      <c r="H464" s="1">
        <v>1942.0</v>
      </c>
      <c r="J464" s="1" t="s">
        <v>1091</v>
      </c>
      <c r="K464" s="1" t="s">
        <v>1092</v>
      </c>
      <c r="L464" s="3" t="s">
        <v>1093</v>
      </c>
      <c r="M464" s="1" t="s">
        <v>1094</v>
      </c>
    </row>
    <row r="465">
      <c r="A465" s="4" t="str">
        <f>hyperlink("http://www.historiamujeres.es/mujera.html#Abrucena","Lao Gallega, María Dolores")</f>
        <v>Lao Gallega, María Dolores</v>
      </c>
      <c r="B465" s="1" t="s">
        <v>12</v>
      </c>
      <c r="C465" s="1" t="s">
        <v>13</v>
      </c>
      <c r="D465" s="1" t="s">
        <v>13</v>
      </c>
      <c r="E465" s="1" t="s">
        <v>979</v>
      </c>
      <c r="F465" s="2">
        <v>1904.0</v>
      </c>
      <c r="G465" s="1" t="s">
        <v>12</v>
      </c>
      <c r="H465" s="1">
        <v>1991.0</v>
      </c>
      <c r="I465" s="1" t="s">
        <v>12</v>
      </c>
      <c r="J465" s="1" t="s">
        <v>35</v>
      </c>
      <c r="K465" s="1" t="s">
        <v>1095</v>
      </c>
      <c r="L465" s="3" t="s">
        <v>590</v>
      </c>
      <c r="M465" s="1" t="s">
        <v>196</v>
      </c>
    </row>
    <row r="466">
      <c r="A466" s="4" t="str">
        <f>hyperlink("http://www.historiamujeres.es/mujera.html#Abrucena","Lao García, Antonia")</f>
        <v>Lao García, Antonia</v>
      </c>
      <c r="B466" s="1" t="s">
        <v>1096</v>
      </c>
      <c r="C466" s="1" t="s">
        <v>13</v>
      </c>
      <c r="D466" s="1" t="s">
        <v>12</v>
      </c>
      <c r="E466" s="1" t="s">
        <v>12</v>
      </c>
      <c r="F466" s="2">
        <v>1930.0</v>
      </c>
      <c r="G466" s="1" t="s">
        <v>12</v>
      </c>
      <c r="H466" s="1" t="s">
        <v>12</v>
      </c>
      <c r="I466" s="1" t="s">
        <v>12</v>
      </c>
      <c r="J466" s="1" t="s">
        <v>35</v>
      </c>
      <c r="K466" s="1" t="s">
        <v>14</v>
      </c>
      <c r="L466" s="3" t="s">
        <v>12</v>
      </c>
      <c r="M466" s="1" t="s">
        <v>1097</v>
      </c>
    </row>
    <row r="467">
      <c r="A467" s="4" t="str">
        <f>hyperlink("http://historiamujeres.es/mujerl.html#Laraga","Lara García, María Josefa")</f>
        <v>Lara García, María Josefa</v>
      </c>
      <c r="B467" s="1" t="s">
        <v>1098</v>
      </c>
      <c r="C467" s="1" t="s">
        <v>12</v>
      </c>
      <c r="D467" s="1" t="s">
        <v>12</v>
      </c>
      <c r="E467" s="1" t="s">
        <v>98</v>
      </c>
      <c r="F467" s="5">
        <v>1965.0</v>
      </c>
      <c r="G467" s="6" t="s">
        <v>17</v>
      </c>
      <c r="H467" s="1" t="s">
        <v>12</v>
      </c>
      <c r="I467" s="1">
        <v>1996.0</v>
      </c>
      <c r="J467" s="1" t="s">
        <v>22</v>
      </c>
      <c r="K467" s="1" t="s">
        <v>964</v>
      </c>
      <c r="L467" s="3" t="s">
        <v>12</v>
      </c>
      <c r="M467" s="1" t="s">
        <v>1099</v>
      </c>
    </row>
    <row r="468">
      <c r="A468" s="4" t="str">
        <f>hyperlink("http://historiamujeres.es/mujerl.html#Lavanderas","Lavanderas de Zújar")</f>
        <v>Lavanderas de Zújar</v>
      </c>
      <c r="B468" s="1" t="s">
        <v>12</v>
      </c>
      <c r="C468" s="1" t="s">
        <v>1100</v>
      </c>
      <c r="F468" s="2">
        <v>1850.0</v>
      </c>
      <c r="G468" s="1" t="s">
        <v>17</v>
      </c>
      <c r="H468" s="1" t="s">
        <v>12</v>
      </c>
      <c r="I468" s="1">
        <v>1900.0</v>
      </c>
      <c r="J468" s="1" t="s">
        <v>1101</v>
      </c>
      <c r="L468" s="3"/>
    </row>
    <row r="469">
      <c r="A469" s="4" t="str">
        <f>hyperlink("http://historiamujeres.es/mujerl.html#Lazaro","Lázaro Díaz, Silvia")</f>
        <v>Lázaro Díaz, Silvia</v>
      </c>
      <c r="B469" s="1" t="s">
        <v>12</v>
      </c>
      <c r="C469" s="1" t="s">
        <v>542</v>
      </c>
      <c r="D469" s="1" t="s">
        <v>12</v>
      </c>
      <c r="E469" s="1" t="s">
        <v>98</v>
      </c>
      <c r="F469" s="2">
        <v>1964.0</v>
      </c>
      <c r="G469" s="1" t="s">
        <v>12</v>
      </c>
      <c r="H469" s="1" t="s">
        <v>12</v>
      </c>
      <c r="I469" s="1" t="s">
        <v>12</v>
      </c>
      <c r="J469" s="1" t="s">
        <v>1102</v>
      </c>
      <c r="K469" s="1" t="s">
        <v>12</v>
      </c>
      <c r="L469" s="3" t="s">
        <v>12</v>
      </c>
      <c r="M469" s="1" t="s">
        <v>12</v>
      </c>
    </row>
    <row r="470">
      <c r="A470" s="4" t="str">
        <f>hyperlink("http://historiamujeres.es/mujerl.html#LEJaRRA","Lejárraga García, María de la O")</f>
        <v>Lejárraga García, María de la O</v>
      </c>
      <c r="B470" s="1" t="s">
        <v>1103</v>
      </c>
      <c r="C470" s="1" t="s">
        <v>1104</v>
      </c>
      <c r="D470" s="1" t="s">
        <v>740</v>
      </c>
      <c r="E470" s="1" t="s">
        <v>30</v>
      </c>
      <c r="F470" s="2">
        <v>1874.0</v>
      </c>
      <c r="G470" s="1" t="s">
        <v>12</v>
      </c>
      <c r="H470" s="1">
        <v>1974.0</v>
      </c>
      <c r="I470" s="1" t="s">
        <v>12</v>
      </c>
      <c r="J470" s="1" t="s">
        <v>113</v>
      </c>
      <c r="K470" s="1" t="s">
        <v>1105</v>
      </c>
      <c r="L470" s="3" t="s">
        <v>59</v>
      </c>
      <c r="M470" s="1" t="s">
        <v>1106</v>
      </c>
    </row>
    <row r="471">
      <c r="A471" s="4" t="str">
        <f>hyperlink("http://historiamujeres.es/mujerl.html#Leon","León Alonso, Pilar")</f>
        <v>León Alonso, Pilar</v>
      </c>
      <c r="B471" s="1" t="s">
        <v>12</v>
      </c>
      <c r="C471" s="1" t="s">
        <v>12</v>
      </c>
      <c r="D471" s="1" t="s">
        <v>12</v>
      </c>
      <c r="E471" s="1" t="s">
        <v>1107</v>
      </c>
      <c r="F471" s="5">
        <v>1945.0</v>
      </c>
      <c r="G471" s="6" t="s">
        <v>17</v>
      </c>
      <c r="H471" s="1" t="s">
        <v>12</v>
      </c>
      <c r="I471" s="1">
        <v>1989.0</v>
      </c>
      <c r="J471" s="1" t="s">
        <v>1108</v>
      </c>
      <c r="K471" s="1" t="s">
        <v>1109</v>
      </c>
      <c r="L471" s="3" t="s">
        <v>12</v>
      </c>
      <c r="M471" s="1" t="s">
        <v>1110</v>
      </c>
    </row>
    <row r="472">
      <c r="A472" s="4" t="str">
        <f>hyperlink("http://historiamujeres.es/mujerl.html#Leonb","León Borrero, Isabel de")</f>
        <v>León Borrero, Isabel de</v>
      </c>
      <c r="B472" s="1" t="s">
        <v>1111</v>
      </c>
      <c r="C472" s="1" t="s">
        <v>12</v>
      </c>
      <c r="D472" s="1" t="s">
        <v>12</v>
      </c>
      <c r="E472" s="1" t="s">
        <v>27</v>
      </c>
      <c r="F472" s="5">
        <v>1945.0</v>
      </c>
      <c r="G472" s="6" t="s">
        <v>17</v>
      </c>
      <c r="H472" s="1" t="s">
        <v>12</v>
      </c>
      <c r="I472" s="1">
        <v>2002.0</v>
      </c>
      <c r="J472" s="1" t="s">
        <v>1112</v>
      </c>
      <c r="K472" s="1" t="s">
        <v>12</v>
      </c>
      <c r="L472" s="3" t="s">
        <v>12</v>
      </c>
      <c r="M472" s="1" t="s">
        <v>1113</v>
      </c>
    </row>
    <row r="473">
      <c r="A473" s="4" t="str">
        <f>hyperlink("http://historiamujeres.es/mujerl.html#Leon_ro","León, Rogelia")</f>
        <v>León, Rogelia</v>
      </c>
      <c r="B473" s="1" t="s">
        <v>12</v>
      </c>
      <c r="C473" s="1" t="s">
        <v>30</v>
      </c>
      <c r="D473" s="1" t="s">
        <v>30</v>
      </c>
      <c r="E473" s="1" t="s">
        <v>12</v>
      </c>
      <c r="F473" s="2">
        <v>1828.0</v>
      </c>
      <c r="G473" s="1" t="s">
        <v>12</v>
      </c>
      <c r="H473" s="1">
        <v>1870.0</v>
      </c>
      <c r="I473" s="1" t="s">
        <v>12</v>
      </c>
      <c r="J473" s="1" t="s">
        <v>113</v>
      </c>
      <c r="K473" s="1" t="s">
        <v>1114</v>
      </c>
      <c r="L473" s="3" t="s">
        <v>12</v>
      </c>
      <c r="M473" s="1" t="s">
        <v>1115</v>
      </c>
    </row>
    <row r="474">
      <c r="A474" s="4" t="str">
        <f>hyperlink("http://historiamujeres.es/mujerl.html#Leonor","Leonor de Guzmán")</f>
        <v>Leonor de Guzmán</v>
      </c>
      <c r="B474" s="1" t="s">
        <v>12</v>
      </c>
      <c r="C474" s="1" t="s">
        <v>27</v>
      </c>
      <c r="D474" s="1" t="s">
        <v>1116</v>
      </c>
      <c r="E474" s="1" t="s">
        <v>12</v>
      </c>
      <c r="F474" s="2">
        <v>1310.0</v>
      </c>
      <c r="G474" s="1" t="s">
        <v>12</v>
      </c>
      <c r="H474" s="1">
        <v>1351.0</v>
      </c>
      <c r="I474" s="1" t="s">
        <v>12</v>
      </c>
      <c r="J474" s="1" t="s">
        <v>1117</v>
      </c>
      <c r="K474" s="1" t="s">
        <v>12</v>
      </c>
      <c r="L474" s="3" t="s">
        <v>12</v>
      </c>
      <c r="M474" s="1" t="s">
        <v>1118</v>
      </c>
    </row>
    <row r="475">
      <c r="A475" s="7" t="str">
        <f>hyperlink("http://historiamujeres.es/vidas/garzon_casas_Luisa.html","Liberalista feminista, Agrupación")</f>
        <v>Liberalista feminista, Agrupación</v>
      </c>
      <c r="B475" s="1"/>
      <c r="C475" s="9" t="s">
        <v>27</v>
      </c>
      <c r="D475" s="9" t="s">
        <v>12</v>
      </c>
      <c r="E475" s="9" t="s">
        <v>24</v>
      </c>
      <c r="F475" s="12">
        <v>1931.0</v>
      </c>
      <c r="G475" s="13" t="s">
        <v>43</v>
      </c>
      <c r="H475" s="13">
        <v>1936.0</v>
      </c>
      <c r="I475" s="9" t="s">
        <v>12</v>
      </c>
      <c r="J475" s="9" t="s">
        <v>1119</v>
      </c>
      <c r="K475" s="9" t="s">
        <v>12</v>
      </c>
      <c r="L475" s="14" t="s">
        <v>12</v>
      </c>
      <c r="M475" s="1"/>
    </row>
    <row r="476">
      <c r="A476" s="7" t="str">
        <f>hyperlink("http://historiamujeres.es/mujerl.html#Liga","Liga Internacional de Mujeres Ibéricas e Hispanoamericanas")</f>
        <v>Liga Internacional de Mujeres Ibéricas e Hispanoamericanas</v>
      </c>
      <c r="B476" s="9" t="s">
        <v>12</v>
      </c>
      <c r="C476" s="52" t="s">
        <v>68</v>
      </c>
      <c r="D476" s="53" t="s">
        <v>12</v>
      </c>
      <c r="E476" s="53" t="s">
        <v>26</v>
      </c>
      <c r="F476" s="54">
        <v>1921.0</v>
      </c>
      <c r="G476" s="52" t="s">
        <v>12</v>
      </c>
      <c r="H476" s="52" t="s">
        <v>12</v>
      </c>
      <c r="I476" s="53" t="s">
        <v>12</v>
      </c>
      <c r="J476" s="52" t="s">
        <v>478</v>
      </c>
      <c r="K476" s="53" t="s">
        <v>12</v>
      </c>
      <c r="L476" s="3" t="s">
        <v>12</v>
      </c>
      <c r="M476" s="55" t="s">
        <v>1120</v>
      </c>
    </row>
    <row r="477">
      <c r="A477" s="4" t="str">
        <f>hyperlink("http://historiamujeres.es/mujerl.html#Linaresro","Linares Rodríguez, Asunción")</f>
        <v>Linares Rodríguez, Asunción</v>
      </c>
      <c r="B477" s="1" t="s">
        <v>1121</v>
      </c>
      <c r="C477" s="1" t="s">
        <v>30</v>
      </c>
      <c r="D477" s="1" t="s">
        <v>12</v>
      </c>
      <c r="E477" s="1" t="s">
        <v>12</v>
      </c>
      <c r="F477" s="2">
        <v>1921.0</v>
      </c>
      <c r="G477" s="1" t="s">
        <v>12</v>
      </c>
      <c r="H477" s="1">
        <v>2005.0</v>
      </c>
      <c r="I477" s="1" t="s">
        <v>12</v>
      </c>
      <c r="J477" s="1" t="s">
        <v>1122</v>
      </c>
      <c r="K477" s="1" t="s">
        <v>12</v>
      </c>
      <c r="L477" s="3" t="s">
        <v>12</v>
      </c>
      <c r="M477" s="1" t="s">
        <v>1123</v>
      </c>
    </row>
    <row r="478">
      <c r="A478" s="4" t="str">
        <f>hyperlink("http://historiamujeres.es/mujerl.html#Linares_von","Linares von Schmiterlöw, Carmen de")</f>
        <v>Linares von Schmiterlöw, Carmen de</v>
      </c>
      <c r="B478" s="1" t="s">
        <v>12</v>
      </c>
      <c r="C478" s="1" t="s">
        <v>98</v>
      </c>
      <c r="D478" s="1" t="s">
        <v>12</v>
      </c>
      <c r="E478" s="1" t="s">
        <v>12</v>
      </c>
      <c r="F478" s="2">
        <v>1954.0</v>
      </c>
      <c r="G478" s="1" t="s">
        <v>12</v>
      </c>
      <c r="H478" s="1" t="s">
        <v>12</v>
      </c>
      <c r="I478" s="1" t="s">
        <v>12</v>
      </c>
      <c r="J478" s="1" t="s">
        <v>1124</v>
      </c>
      <c r="K478" s="1" t="s">
        <v>470</v>
      </c>
      <c r="L478" s="3" t="s">
        <v>12</v>
      </c>
      <c r="M478" s="1" t="s">
        <v>1125</v>
      </c>
    </row>
    <row r="479">
      <c r="A479" s="4" t="str">
        <f>hyperlink("http://historiamujeres.es/mujerl.html#Lindo","Lindo Garrido, Elvira")</f>
        <v>Lindo Garrido, Elvira</v>
      </c>
      <c r="B479" s="1" t="s">
        <v>12</v>
      </c>
      <c r="C479" s="1" t="s">
        <v>205</v>
      </c>
      <c r="D479" s="1" t="s">
        <v>12</v>
      </c>
      <c r="E479" s="1" t="s">
        <v>12</v>
      </c>
      <c r="F479" s="2">
        <v>1962.0</v>
      </c>
      <c r="G479" s="1" t="s">
        <v>12</v>
      </c>
      <c r="H479" s="1" t="s">
        <v>12</v>
      </c>
      <c r="I479" s="1" t="s">
        <v>12</v>
      </c>
      <c r="J479" s="1" t="s">
        <v>113</v>
      </c>
      <c r="K479" s="1" t="s">
        <v>12</v>
      </c>
      <c r="L479" s="3" t="s">
        <v>12</v>
      </c>
      <c r="M479" s="1" t="s">
        <v>1126</v>
      </c>
    </row>
    <row r="480">
      <c r="A480" s="11" t="str">
        <f>hyperlink("http://historiamujeres.es/mujerl.html#Llanos","Llanos Medina, Emilia ")</f>
        <v>Llanos Medina, Emilia </v>
      </c>
      <c r="B480" s="9" t="s">
        <v>765</v>
      </c>
      <c r="C480" s="9" t="s">
        <v>30</v>
      </c>
      <c r="D480" s="9" t="s">
        <v>12</v>
      </c>
      <c r="E480" s="9" t="s">
        <v>12</v>
      </c>
      <c r="F480" s="15">
        <v>1886.0</v>
      </c>
      <c r="G480" s="9" t="s">
        <v>12</v>
      </c>
      <c r="H480" s="9">
        <v>1967.0</v>
      </c>
      <c r="I480" s="1"/>
      <c r="J480" s="9" t="s">
        <v>404</v>
      </c>
      <c r="K480" s="9" t="s">
        <v>12</v>
      </c>
      <c r="L480" s="14" t="s">
        <v>12</v>
      </c>
      <c r="M480" s="9" t="s">
        <v>1127</v>
      </c>
    </row>
    <row r="481">
      <c r="A481" s="7" t="s">
        <v>1128</v>
      </c>
      <c r="B481" s="8" t="s">
        <v>1129</v>
      </c>
      <c r="C481" s="8" t="s">
        <v>12</v>
      </c>
      <c r="D481" s="8" t="s">
        <v>205</v>
      </c>
      <c r="E481" s="8" t="s">
        <v>12</v>
      </c>
      <c r="F481" s="8">
        <v>1935.0</v>
      </c>
      <c r="G481" s="8" t="s">
        <v>17</v>
      </c>
      <c r="H481" s="8">
        <v>2016.0</v>
      </c>
      <c r="I481" s="8" t="s">
        <v>12</v>
      </c>
      <c r="J481" s="8" t="s">
        <v>1130</v>
      </c>
      <c r="K481" s="8" t="s">
        <v>12</v>
      </c>
      <c r="L481" s="8" t="s">
        <v>12</v>
      </c>
      <c r="M481" s="8" t="s">
        <v>1131</v>
      </c>
    </row>
    <row r="482">
      <c r="A482" s="4" t="str">
        <f>hyperlink("http://historiamujeres.es/mujerl.html#LOCA","Loca Mateo, La")</f>
        <v>Loca Mateo, La</v>
      </c>
      <c r="B482" s="1" t="s">
        <v>12</v>
      </c>
      <c r="C482" s="1" t="s">
        <v>1132</v>
      </c>
      <c r="D482" s="1" t="s">
        <v>12</v>
      </c>
      <c r="E482" s="1" t="s">
        <v>12</v>
      </c>
      <c r="F482" s="5">
        <v>1850.0</v>
      </c>
      <c r="G482" s="6" t="s">
        <v>43</v>
      </c>
      <c r="H482" s="6">
        <v>1900.0</v>
      </c>
      <c r="I482" s="1" t="s">
        <v>12</v>
      </c>
      <c r="J482" s="1" t="s">
        <v>69</v>
      </c>
      <c r="K482" s="1" t="s">
        <v>12</v>
      </c>
      <c r="L482" s="3" t="s">
        <v>12</v>
      </c>
      <c r="M482" s="1" t="s">
        <v>12</v>
      </c>
    </row>
    <row r="483">
      <c r="A483" s="11" t="str">
        <f>hyperlink("http://historiamujeres.es/mujerl.html#Lopez_Cabrera","López Cabrera, Amalia")</f>
        <v>López Cabrera, Amalia</v>
      </c>
      <c r="B483" s="9" t="s">
        <v>12</v>
      </c>
      <c r="C483" s="9" t="s">
        <v>26</v>
      </c>
      <c r="D483" s="9" t="s">
        <v>68</v>
      </c>
      <c r="E483" s="9" t="s">
        <v>64</v>
      </c>
      <c r="F483" s="42">
        <v>1838.0</v>
      </c>
      <c r="G483" s="1"/>
      <c r="H483" s="42">
        <v>1899.0</v>
      </c>
      <c r="I483" s="9" t="s">
        <v>12</v>
      </c>
      <c r="J483" s="9" t="s">
        <v>1005</v>
      </c>
      <c r="K483" s="9" t="s">
        <v>12</v>
      </c>
      <c r="L483" s="14" t="s">
        <v>12</v>
      </c>
      <c r="M483" s="9" t="s">
        <v>1133</v>
      </c>
    </row>
    <row r="484">
      <c r="A484" s="4" t="str">
        <f>hyperlink("http://historiamujeres.es/mujerc.html#CHARI","López Carrascosa, Rosario")</f>
        <v>López Carrascosa, Rosario</v>
      </c>
      <c r="B484" s="1" t="s">
        <v>1134</v>
      </c>
      <c r="C484" s="1" t="s">
        <v>64</v>
      </c>
      <c r="D484" s="1" t="s">
        <v>12</v>
      </c>
      <c r="E484" s="1" t="s">
        <v>12</v>
      </c>
      <c r="F484" s="2">
        <v>1943.0</v>
      </c>
      <c r="G484" s="1" t="s">
        <v>12</v>
      </c>
      <c r="H484" s="1" t="s">
        <v>12</v>
      </c>
      <c r="I484" s="1" t="s">
        <v>12</v>
      </c>
      <c r="J484" s="1" t="s">
        <v>69</v>
      </c>
      <c r="K484" s="1" t="s">
        <v>12</v>
      </c>
      <c r="L484" s="3" t="s">
        <v>12</v>
      </c>
      <c r="M484" s="1" t="s">
        <v>12</v>
      </c>
    </row>
    <row r="485">
      <c r="A485" s="4" t="str">
        <f>hyperlink("http://historiamujeres.es/vidas/Lopez_cortes_pura.html","López Cortés, Pura")</f>
        <v>López Cortés, Pura</v>
      </c>
      <c r="B485" s="1" t="s">
        <v>12</v>
      </c>
      <c r="C485" s="1" t="s">
        <v>1135</v>
      </c>
      <c r="D485" s="1" t="s">
        <v>12</v>
      </c>
      <c r="E485" s="1" t="s">
        <v>12</v>
      </c>
      <c r="F485" s="2">
        <v>1952.0</v>
      </c>
      <c r="G485" s="1" t="s">
        <v>12</v>
      </c>
      <c r="H485" s="9">
        <v>2019.0</v>
      </c>
      <c r="I485" s="1" t="s">
        <v>12</v>
      </c>
      <c r="J485" s="1" t="s">
        <v>1136</v>
      </c>
      <c r="K485" s="1" t="s">
        <v>59</v>
      </c>
      <c r="L485" s="14" t="s">
        <v>404</v>
      </c>
      <c r="M485" s="1" t="s">
        <v>12</v>
      </c>
    </row>
    <row r="486">
      <c r="A486" s="4" t="str">
        <f>hyperlink("http://historiamujeres.es/mujerl.html#LpezdeAy","López de Ayala y Molero, Ángeles")</f>
        <v>López de Ayala y Molero, Ángeles</v>
      </c>
      <c r="B486" s="1" t="s">
        <v>12</v>
      </c>
      <c r="C486" s="1" t="s">
        <v>27</v>
      </c>
      <c r="D486" s="1" t="s">
        <v>542</v>
      </c>
      <c r="E486" s="1" t="s">
        <v>12</v>
      </c>
      <c r="F486" s="2">
        <v>1856.0</v>
      </c>
      <c r="G486" s="1" t="s">
        <v>12</v>
      </c>
      <c r="H486" s="1">
        <v>1926.0</v>
      </c>
      <c r="I486" s="1" t="s">
        <v>12</v>
      </c>
      <c r="J486" s="1" t="s">
        <v>113</v>
      </c>
      <c r="K486" s="1" t="s">
        <v>56</v>
      </c>
      <c r="L486" s="3" t="s">
        <v>373</v>
      </c>
      <c r="M486" s="1" t="s">
        <v>1137</v>
      </c>
    </row>
    <row r="487">
      <c r="A487" s="4" t="str">
        <f>hyperlink("http://historiamujeres.es/mujerl.html#Lopezco","López de Córdoba, Leonor")</f>
        <v>López de Córdoba, Leonor</v>
      </c>
      <c r="B487" s="1" t="s">
        <v>12</v>
      </c>
      <c r="C487" s="1" t="s">
        <v>1138</v>
      </c>
      <c r="D487" s="1" t="s">
        <v>24</v>
      </c>
      <c r="E487" s="1" t="s">
        <v>12</v>
      </c>
      <c r="F487" s="2">
        <v>1363.0</v>
      </c>
      <c r="G487" s="6" t="s">
        <v>92</v>
      </c>
      <c r="H487" s="6">
        <v>1413.0</v>
      </c>
      <c r="I487" s="1" t="s">
        <v>12</v>
      </c>
      <c r="J487" s="1" t="s">
        <v>113</v>
      </c>
      <c r="K487" s="1" t="s">
        <v>1139</v>
      </c>
      <c r="L487" s="3" t="s">
        <v>12</v>
      </c>
      <c r="M487" s="1" t="s">
        <v>1140</v>
      </c>
    </row>
    <row r="488">
      <c r="A488" s="4" t="str">
        <f>hyperlink("http://historiamujeres.es/mujerl.html#Lopez","López de Morla y Virués, Margarita")</f>
        <v>López de Morla y Virués, Margarita</v>
      </c>
      <c r="B488" s="1" t="s">
        <v>12</v>
      </c>
      <c r="C488" s="1" t="s">
        <v>262</v>
      </c>
      <c r="D488" s="1" t="s">
        <v>12</v>
      </c>
      <c r="E488" s="1" t="s">
        <v>12</v>
      </c>
      <c r="F488" s="2">
        <v>1790.0</v>
      </c>
      <c r="G488" s="6" t="s">
        <v>92</v>
      </c>
      <c r="H488" s="6">
        <v>1850.0</v>
      </c>
      <c r="I488" s="1" t="s">
        <v>12</v>
      </c>
      <c r="J488" s="1" t="s">
        <v>1141</v>
      </c>
      <c r="K488" s="1" t="s">
        <v>56</v>
      </c>
      <c r="L488" s="3" t="s">
        <v>12</v>
      </c>
      <c r="M488" s="1" t="s">
        <v>12</v>
      </c>
    </row>
    <row r="489">
      <c r="A489" s="4" t="str">
        <f>hyperlink("http://historiamujeres.es/mujerl.html#Lopez_de_Ulloa","López de Ulloa, María Manuela")</f>
        <v>López de Ulloa, María Manuela</v>
      </c>
      <c r="B489" s="1" t="s">
        <v>12</v>
      </c>
      <c r="C489" s="1" t="s">
        <v>12</v>
      </c>
      <c r="D489" s="1" t="s">
        <v>12</v>
      </c>
      <c r="E489" s="1" t="s">
        <v>205</v>
      </c>
      <c r="F489" s="5">
        <v>1770.0</v>
      </c>
      <c r="G489" s="6" t="s">
        <v>43</v>
      </c>
      <c r="H489" s="6">
        <v>1830.0</v>
      </c>
      <c r="I489" s="1">
        <v>1812.0</v>
      </c>
      <c r="J489" s="1" t="s">
        <v>1142</v>
      </c>
      <c r="K489" s="1" t="s">
        <v>1143</v>
      </c>
      <c r="L489" s="3" t="s">
        <v>12</v>
      </c>
      <c r="M489" s="1" t="s">
        <v>12</v>
      </c>
    </row>
    <row r="490">
      <c r="A490" s="4" t="str">
        <f>hyperlink("http://historiamujeres.es/mujerl.html#LPEZba","López del Baño, Amparo")</f>
        <v>López del Baño, Amparo</v>
      </c>
      <c r="B490" s="1" t="s">
        <v>12</v>
      </c>
      <c r="C490" s="1" t="s">
        <v>27</v>
      </c>
      <c r="D490" s="1" t="s">
        <v>12</v>
      </c>
      <c r="E490" s="1" t="s">
        <v>1144</v>
      </c>
      <c r="F490" s="5">
        <v>1820.0</v>
      </c>
      <c r="G490" s="6" t="s">
        <v>43</v>
      </c>
      <c r="H490" s="6">
        <v>1891.0</v>
      </c>
      <c r="I490" s="1" t="s">
        <v>12</v>
      </c>
      <c r="J490" s="1" t="s">
        <v>1145</v>
      </c>
      <c r="K490" s="1" t="s">
        <v>12</v>
      </c>
      <c r="L490" s="3" t="s">
        <v>12</v>
      </c>
      <c r="M490" s="1" t="s">
        <v>12</v>
      </c>
    </row>
    <row r="491">
      <c r="A491" s="4" t="str">
        <f>hyperlink("http://historiamujeres.es/mujerl.html#Lopez_E","López Enamorado, Maria Dolores")</f>
        <v>López Enamorado, Maria Dolores</v>
      </c>
      <c r="B491" s="1" t="s">
        <v>1146</v>
      </c>
      <c r="E491" s="1" t="s">
        <v>1147</v>
      </c>
      <c r="F491" s="5">
        <v>1960.0</v>
      </c>
      <c r="G491" s="6" t="s">
        <v>17</v>
      </c>
      <c r="J491" s="1" t="s">
        <v>1148</v>
      </c>
      <c r="K491" s="1" t="s">
        <v>1149</v>
      </c>
      <c r="L491" s="3"/>
      <c r="M491" s="1" t="s">
        <v>1150</v>
      </c>
    </row>
    <row r="492">
      <c r="A492" s="7" t="str">
        <f>hyperlink("http://historiamujeres.es/mujerl.html#Gallego","López Gallego, Ana")</f>
        <v>López Gallego, Ana</v>
      </c>
      <c r="B492" s="1" t="s">
        <v>12</v>
      </c>
      <c r="C492" s="9" t="s">
        <v>809</v>
      </c>
      <c r="D492" s="9" t="s">
        <v>68</v>
      </c>
      <c r="E492" s="1" t="s">
        <v>12</v>
      </c>
      <c r="F492" s="13">
        <v>1919.0</v>
      </c>
      <c r="G492" s="13" t="s">
        <v>17</v>
      </c>
      <c r="H492" s="9">
        <v>1939.0</v>
      </c>
      <c r="I492" s="1" t="s">
        <v>12</v>
      </c>
      <c r="J492" s="9" t="s">
        <v>1151</v>
      </c>
      <c r="K492" s="9" t="s">
        <v>1152</v>
      </c>
      <c r="L492" s="19" t="s">
        <v>1153</v>
      </c>
      <c r="M492" s="9" t="s">
        <v>1154</v>
      </c>
    </row>
    <row r="493">
      <c r="A493" s="4" t="str">
        <f>hyperlink("http://historiamujeres.es/mujerl.html#LPEZga","López Gay, Josefina")</f>
        <v>López Gay, Josefina</v>
      </c>
      <c r="B493" s="1" t="s">
        <v>1155</v>
      </c>
      <c r="C493" s="1" t="s">
        <v>26</v>
      </c>
      <c r="D493" s="1" t="s">
        <v>27</v>
      </c>
      <c r="E493" s="1" t="s">
        <v>12</v>
      </c>
      <c r="F493" s="2">
        <v>1950.0</v>
      </c>
      <c r="G493" s="1" t="s">
        <v>12</v>
      </c>
      <c r="H493" s="1">
        <v>2000.0</v>
      </c>
      <c r="I493" s="1" t="s">
        <v>12</v>
      </c>
      <c r="J493" s="1" t="s">
        <v>1156</v>
      </c>
      <c r="K493" s="1" t="s">
        <v>12</v>
      </c>
      <c r="L493" s="3" t="s">
        <v>12</v>
      </c>
      <c r="M493" s="1" t="s">
        <v>1157</v>
      </c>
    </row>
    <row r="494">
      <c r="A494" s="4" t="str">
        <f>hyperlink("http://historiamujeres.es/mujerl.html#LpezCh","López González, María Teresa")</f>
        <v>López González, María Teresa</v>
      </c>
      <c r="B494" s="1" t="s">
        <v>1158</v>
      </c>
      <c r="C494" s="1" t="s">
        <v>740</v>
      </c>
      <c r="D494" s="1" t="s">
        <v>1159</v>
      </c>
      <c r="E494" s="1" t="s">
        <v>12</v>
      </c>
      <c r="F494" s="2">
        <v>1913.0</v>
      </c>
      <c r="G494" s="1" t="s">
        <v>12</v>
      </c>
      <c r="H494" s="1">
        <v>2003.0</v>
      </c>
      <c r="I494" s="1" t="s">
        <v>12</v>
      </c>
      <c r="J494" s="1" t="s">
        <v>1160</v>
      </c>
      <c r="K494" s="1" t="s">
        <v>1161</v>
      </c>
      <c r="L494" s="3" t="s">
        <v>212</v>
      </c>
      <c r="M494" s="1" t="s">
        <v>1162</v>
      </c>
    </row>
    <row r="495">
      <c r="A495" s="4" t="str">
        <f>hyperlink("http://historiamujeres.es/mujera.html#Argentinita","López Jullvez, Encarnación")</f>
        <v>López Jullvez, Encarnación</v>
      </c>
      <c r="B495" s="1" t="s">
        <v>1163</v>
      </c>
      <c r="C495" s="1" t="s">
        <v>1164</v>
      </c>
      <c r="D495" s="1" t="s">
        <v>581</v>
      </c>
      <c r="E495" s="1" t="s">
        <v>144</v>
      </c>
      <c r="F495" s="2">
        <v>1895.0</v>
      </c>
      <c r="G495" s="1" t="s">
        <v>12</v>
      </c>
      <c r="H495" s="1">
        <v>1945.0</v>
      </c>
      <c r="I495" s="1" t="s">
        <v>12</v>
      </c>
      <c r="J495" s="1" t="s">
        <v>583</v>
      </c>
      <c r="K495" s="1" t="s">
        <v>12</v>
      </c>
      <c r="L495" s="3" t="s">
        <v>12</v>
      </c>
      <c r="M495" s="1" t="s">
        <v>12</v>
      </c>
    </row>
    <row r="496">
      <c r="A496" s="4" t="str">
        <f>hyperlink("http://historiamujeres.es/mujerl.html#LpezJ","López Julve, Pilar")</f>
        <v>López Julve, Pilar</v>
      </c>
      <c r="B496" s="1" t="s">
        <v>12</v>
      </c>
      <c r="C496" s="1" t="s">
        <v>12</v>
      </c>
      <c r="D496" s="1" t="s">
        <v>12</v>
      </c>
      <c r="E496" s="1" t="s">
        <v>144</v>
      </c>
      <c r="F496" s="2">
        <v>1912.0</v>
      </c>
      <c r="G496" s="1" t="s">
        <v>12</v>
      </c>
      <c r="H496" s="1" t="s">
        <v>12</v>
      </c>
      <c r="I496" s="1" t="s">
        <v>12</v>
      </c>
      <c r="J496" s="1" t="s">
        <v>583</v>
      </c>
      <c r="K496" s="1" t="s">
        <v>12</v>
      </c>
      <c r="L496" s="3" t="s">
        <v>12</v>
      </c>
      <c r="M496" s="1" t="s">
        <v>36</v>
      </c>
    </row>
    <row r="497">
      <c r="A497" s="4" t="str">
        <f>hyperlink("http://historiamujeres.es/mujerl.html#Lopezmar","López Martínez , María del Carmen")</f>
        <v>López Martínez , María del Carmen</v>
      </c>
      <c r="B497" s="1" t="s">
        <v>12</v>
      </c>
      <c r="C497" s="1" t="s">
        <v>12</v>
      </c>
      <c r="D497" s="1" t="s">
        <v>12</v>
      </c>
      <c r="E497" s="1" t="s">
        <v>30</v>
      </c>
      <c r="F497" s="5">
        <v>1960.0</v>
      </c>
      <c r="G497" s="6" t="s">
        <v>17</v>
      </c>
      <c r="H497" s="1" t="s">
        <v>12</v>
      </c>
      <c r="I497" s="1" t="s">
        <v>12</v>
      </c>
      <c r="J497" s="1" t="s">
        <v>1165</v>
      </c>
      <c r="K497" s="1" t="s">
        <v>12</v>
      </c>
      <c r="L497" s="3" t="s">
        <v>12</v>
      </c>
      <c r="M497" s="1" t="s">
        <v>124</v>
      </c>
    </row>
    <row r="498">
      <c r="A498" s="4" t="str">
        <f>hyperlink("http://historiamujeres.es/mujerl.html#Lopez_Mora","López Mora, Palmira")</f>
        <v>López Mora, Palmira</v>
      </c>
      <c r="B498" s="1" t="s">
        <v>12</v>
      </c>
      <c r="C498" s="1" t="s">
        <v>12</v>
      </c>
      <c r="D498" s="1" t="s">
        <v>12</v>
      </c>
      <c r="E498" s="1" t="s">
        <v>1166</v>
      </c>
      <c r="F498" s="5">
        <v>1950.0</v>
      </c>
      <c r="G498" s="6" t="s">
        <v>17</v>
      </c>
      <c r="H498" s="1" t="s">
        <v>12</v>
      </c>
      <c r="I498" s="1">
        <v>1991.0</v>
      </c>
      <c r="J498" s="1" t="s">
        <v>590</v>
      </c>
      <c r="K498" s="1" t="s">
        <v>1167</v>
      </c>
      <c r="L498" s="3" t="s">
        <v>12</v>
      </c>
      <c r="M498" s="1" t="s">
        <v>1168</v>
      </c>
    </row>
    <row r="499">
      <c r="A499" s="4" t="str">
        <f>hyperlink("http://historiamujeres.es/mujerl.html#Lopezp","López Pastor, Nieves")</f>
        <v>López Pastor, Nieves</v>
      </c>
      <c r="B499" s="1" t="s">
        <v>12</v>
      </c>
      <c r="C499" s="1" t="s">
        <v>315</v>
      </c>
      <c r="D499" s="1" t="s">
        <v>675</v>
      </c>
      <c r="E499" s="1" t="s">
        <v>765</v>
      </c>
      <c r="F499" s="5">
        <v>1900.0</v>
      </c>
      <c r="G499" s="6" t="s">
        <v>17</v>
      </c>
      <c r="H499" s="1">
        <v>1978.0</v>
      </c>
      <c r="I499" s="1" t="s">
        <v>12</v>
      </c>
      <c r="J499" s="1" t="s">
        <v>113</v>
      </c>
      <c r="K499" s="1" t="s">
        <v>1169</v>
      </c>
      <c r="L499" s="3" t="s">
        <v>12</v>
      </c>
      <c r="M499" s="1" t="s">
        <v>12</v>
      </c>
    </row>
    <row r="500">
      <c r="A500" s="4" t="str">
        <f>hyperlink("http://historiamujeres.es/mujerl.html#Lopez_Res","López Resino, Maria Dolores")</f>
        <v>López Resino, Maria Dolores</v>
      </c>
      <c r="B500" s="1" t="s">
        <v>1170</v>
      </c>
      <c r="C500" s="1" t="s">
        <v>1171</v>
      </c>
      <c r="D500" s="1" t="s">
        <v>12</v>
      </c>
      <c r="E500" s="1" t="s">
        <v>542</v>
      </c>
      <c r="F500" s="2">
        <v>1951.0</v>
      </c>
      <c r="G500" s="1" t="s">
        <v>12</v>
      </c>
      <c r="H500" s="1" t="s">
        <v>12</v>
      </c>
      <c r="I500" s="1" t="s">
        <v>12</v>
      </c>
      <c r="J500" s="1" t="s">
        <v>1172</v>
      </c>
      <c r="K500" s="1" t="s">
        <v>1173</v>
      </c>
      <c r="L500" s="3" t="s">
        <v>12</v>
      </c>
      <c r="M500" s="1" t="s">
        <v>12</v>
      </c>
    </row>
    <row r="501">
      <c r="A501" s="4" t="str">
        <f>hyperlink("http://www.historiamujeres.es/mujera.html#Abrucena","López Salmerón,  Concepción")</f>
        <v>López Salmerón,  Concepción</v>
      </c>
      <c r="B501" s="1" t="s">
        <v>12</v>
      </c>
      <c r="C501" s="1" t="s">
        <v>13</v>
      </c>
      <c r="D501" s="1" t="s">
        <v>12</v>
      </c>
      <c r="E501" s="1" t="s">
        <v>12</v>
      </c>
      <c r="F501" s="2">
        <v>1902.0</v>
      </c>
      <c r="G501" s="1" t="s">
        <v>12</v>
      </c>
      <c r="H501" s="1" t="s">
        <v>12</v>
      </c>
      <c r="I501" s="1" t="s">
        <v>12</v>
      </c>
      <c r="J501" s="1" t="s">
        <v>35</v>
      </c>
      <c r="K501" s="1" t="s">
        <v>45</v>
      </c>
      <c r="L501" s="3" t="s">
        <v>12</v>
      </c>
      <c r="M501" s="1" t="s">
        <v>196</v>
      </c>
    </row>
    <row r="502">
      <c r="A502" s="4" t="str">
        <f>hyperlink("http://historiamujeres.es/mujerl.html#Lopez_Velasco","López Velasco, Elisa")</f>
        <v>López Velasco, Elisa</v>
      </c>
      <c r="B502" s="1" t="s">
        <v>12</v>
      </c>
      <c r="C502" s="1" t="s">
        <v>1174</v>
      </c>
      <c r="D502" s="1" t="s">
        <v>657</v>
      </c>
      <c r="E502" s="1" t="s">
        <v>12</v>
      </c>
      <c r="F502" s="2">
        <v>1884.0</v>
      </c>
      <c r="G502" s="1" t="s">
        <v>12</v>
      </c>
      <c r="H502" s="1" t="s">
        <v>12</v>
      </c>
      <c r="I502" s="1" t="s">
        <v>12</v>
      </c>
      <c r="J502" s="1" t="s">
        <v>1175</v>
      </c>
      <c r="K502" s="1" t="s">
        <v>772</v>
      </c>
      <c r="L502" s="3" t="s">
        <v>773</v>
      </c>
      <c r="M502" s="1" t="s">
        <v>1176</v>
      </c>
    </row>
    <row r="503">
      <c r="A503" s="4" t="str">
        <f>hyperlink("http://historiamujeres.es/mujerl.html#Lopez_Jeronima","López, Jerónima")</f>
        <v>López, Jerónima</v>
      </c>
      <c r="B503" s="1" t="s">
        <v>1177</v>
      </c>
      <c r="C503" s="1" t="s">
        <v>12</v>
      </c>
      <c r="D503" s="1" t="s">
        <v>12</v>
      </c>
      <c r="E503" s="1" t="s">
        <v>141</v>
      </c>
      <c r="F503" s="5">
        <v>1770.0</v>
      </c>
      <c r="G503" s="6" t="s">
        <v>43</v>
      </c>
      <c r="H503" s="6">
        <v>1830.0</v>
      </c>
      <c r="I503" s="1">
        <v>1812.0</v>
      </c>
      <c r="J503" s="1" t="s">
        <v>1178</v>
      </c>
      <c r="K503" s="1" t="s">
        <v>12</v>
      </c>
      <c r="L503" s="3" t="s">
        <v>12</v>
      </c>
      <c r="M503" s="1" t="s">
        <v>12</v>
      </c>
    </row>
    <row r="504">
      <c r="A504" s="4" t="str">
        <f>hyperlink("http://historiamujeres.es/mujerl.html#Lopezbeata","López, María Dolores")</f>
        <v>López, María Dolores</v>
      </c>
      <c r="B504" s="1" t="s">
        <v>1179</v>
      </c>
      <c r="C504" s="9" t="s">
        <v>27</v>
      </c>
      <c r="D504" s="9" t="s">
        <v>27</v>
      </c>
      <c r="E504" s="1" t="s">
        <v>12</v>
      </c>
      <c r="F504" s="5">
        <v>1750.0</v>
      </c>
      <c r="G504" s="6" t="s">
        <v>17</v>
      </c>
      <c r="H504" s="17">
        <v>1781.0</v>
      </c>
      <c r="I504" s="1" t="s">
        <v>12</v>
      </c>
      <c r="J504" s="1" t="s">
        <v>204</v>
      </c>
      <c r="K504" s="1" t="s">
        <v>1180</v>
      </c>
      <c r="L504" s="3" t="s">
        <v>12</v>
      </c>
      <c r="M504" s="1" t="s">
        <v>1181</v>
      </c>
    </row>
    <row r="505">
      <c r="A505" s="4" t="str">
        <f>hyperlink("http://historiamujeres.es/mujerl.html#Lorca_Romero_Vicenta","Lorca Romero, Vicenta")</f>
        <v>Lorca Romero, Vicenta</v>
      </c>
      <c r="B505" s="1" t="s">
        <v>12</v>
      </c>
      <c r="C505" s="1" t="s">
        <v>30</v>
      </c>
      <c r="D505" s="1" t="s">
        <v>68</v>
      </c>
      <c r="E505" s="1" t="s">
        <v>1182</v>
      </c>
      <c r="F505" s="2">
        <v>1870.0</v>
      </c>
      <c r="G505" s="1" t="s">
        <v>12</v>
      </c>
      <c r="H505" s="1">
        <v>1959.0</v>
      </c>
      <c r="I505" s="1" t="s">
        <v>12</v>
      </c>
      <c r="J505" s="1" t="s">
        <v>59</v>
      </c>
      <c r="K505" s="1" t="s">
        <v>12</v>
      </c>
      <c r="L505" s="3" t="s">
        <v>12</v>
      </c>
      <c r="M505" s="1" t="s">
        <v>1183</v>
      </c>
    </row>
    <row r="506">
      <c r="A506" s="4" t="str">
        <f>hyperlink("http://historiamujeres.es/mujerl.html#Loring_concep","Loring y Heredia, Concepción")</f>
        <v>Loring y Heredia, Concepción</v>
      </c>
      <c r="B506" s="1" t="s">
        <v>12</v>
      </c>
      <c r="C506" s="1" t="s">
        <v>98</v>
      </c>
      <c r="D506" s="1" t="s">
        <v>68</v>
      </c>
      <c r="E506" s="1" t="s">
        <v>12</v>
      </c>
      <c r="F506" s="2">
        <v>1868.0</v>
      </c>
      <c r="G506" s="1" t="s">
        <v>12</v>
      </c>
      <c r="H506" s="1">
        <v>1935.0</v>
      </c>
      <c r="I506" s="1" t="s">
        <v>12</v>
      </c>
      <c r="J506" s="1" t="s">
        <v>1184</v>
      </c>
      <c r="K506" s="1" t="s">
        <v>12</v>
      </c>
      <c r="L506" s="3" t="s">
        <v>12</v>
      </c>
      <c r="M506" s="1" t="s">
        <v>1185</v>
      </c>
    </row>
    <row r="507">
      <c r="A507" s="4" t="str">
        <f>hyperlink("http://historiamujeres.es/vidas/lubna.html","Lubna")</f>
        <v>Lubna</v>
      </c>
      <c r="B507" s="1" t="s">
        <v>12</v>
      </c>
      <c r="C507" s="1" t="s">
        <v>12</v>
      </c>
      <c r="D507" s="1" t="s">
        <v>24</v>
      </c>
      <c r="E507" s="1" t="s">
        <v>12</v>
      </c>
      <c r="F507" s="27">
        <v>920.0</v>
      </c>
      <c r="G507" s="25" t="s">
        <v>43</v>
      </c>
      <c r="H507" s="13">
        <v>985.0</v>
      </c>
      <c r="I507" s="1" t="s">
        <v>12</v>
      </c>
      <c r="J507" s="1" t="s">
        <v>1186</v>
      </c>
      <c r="K507" s="1" t="s">
        <v>1187</v>
      </c>
      <c r="L507" s="3" t="s">
        <v>12</v>
      </c>
      <c r="M507" s="1" t="s">
        <v>1188</v>
      </c>
    </row>
    <row r="508">
      <c r="A508" s="4" t="str">
        <f>hyperlink("http://historiamujeres.es/mujerl.html#Lucena_ma","Lucena, María de")</f>
        <v>Lucena, María de</v>
      </c>
      <c r="B508" s="1" t="s">
        <v>12</v>
      </c>
      <c r="C508" s="1" t="s">
        <v>12</v>
      </c>
      <c r="D508" s="1" t="s">
        <v>12</v>
      </c>
      <c r="E508" s="1" t="s">
        <v>283</v>
      </c>
      <c r="F508" s="2">
        <v>1750.0</v>
      </c>
      <c r="G508" s="1" t="s">
        <v>12</v>
      </c>
      <c r="H508" s="1">
        <v>1810.0</v>
      </c>
      <c r="I508" s="1" t="s">
        <v>12</v>
      </c>
      <c r="J508" s="1" t="s">
        <v>1189</v>
      </c>
      <c r="K508" s="1" t="s">
        <v>12</v>
      </c>
      <c r="L508" s="3" t="s">
        <v>12</v>
      </c>
      <c r="M508" s="1" t="s">
        <v>12</v>
      </c>
    </row>
    <row r="509">
      <c r="A509" s="4" t="str">
        <f>hyperlink("http://historiamujeres.es/mujerl.html#Lucia ","Lucía Ortiz, María Blanca de ")</f>
        <v>Lucía Ortiz, María Blanca de </v>
      </c>
      <c r="B509" s="1" t="s">
        <v>12</v>
      </c>
      <c r="C509" s="1" t="s">
        <v>1159</v>
      </c>
      <c r="D509" s="1" t="s">
        <v>1159</v>
      </c>
      <c r="E509" s="1" t="s">
        <v>12</v>
      </c>
      <c r="F509" s="2">
        <v>1875.0</v>
      </c>
      <c r="G509" s="1" t="s">
        <v>12</v>
      </c>
      <c r="H509" s="1">
        <v>1936.0</v>
      </c>
      <c r="I509" s="1" t="s">
        <v>12</v>
      </c>
      <c r="J509" s="1" t="s">
        <v>641</v>
      </c>
      <c r="K509" s="1" t="s">
        <v>1190</v>
      </c>
      <c r="L509" s="3" t="s">
        <v>12</v>
      </c>
      <c r="M509" s="1" t="s">
        <v>1191</v>
      </c>
    </row>
    <row r="510">
      <c r="A510" s="4" t="str">
        <f>hyperlink("http://historiamujeres.es/mujerl.html#Lucila ","Lucila")</f>
        <v>Lucila</v>
      </c>
      <c r="B510" s="1" t="s">
        <v>12</v>
      </c>
      <c r="C510" s="1" t="s">
        <v>146</v>
      </c>
      <c r="D510" s="1" t="s">
        <v>12</v>
      </c>
      <c r="E510" s="1" t="s">
        <v>1192</v>
      </c>
      <c r="F510" s="5">
        <v>280.0</v>
      </c>
      <c r="G510" s="6" t="s">
        <v>43</v>
      </c>
      <c r="H510" s="6">
        <v>340.0</v>
      </c>
      <c r="I510" s="1" t="s">
        <v>12</v>
      </c>
      <c r="J510" s="1" t="s">
        <v>1193</v>
      </c>
      <c r="K510" s="1" t="s">
        <v>12</v>
      </c>
      <c r="L510" s="3" t="s">
        <v>12</v>
      </c>
      <c r="M510" s="1" t="s">
        <v>1194</v>
      </c>
    </row>
    <row r="511">
      <c r="A511" s="4" t="str">
        <f>hyperlink("http://historiamujeres.es/mujerl.html#Luengo","Luengo de la Figuera, Suceso")</f>
        <v>Luengo de la Figuera, Suceso</v>
      </c>
      <c r="B511" s="1" t="s">
        <v>12</v>
      </c>
      <c r="C511" s="1" t="s">
        <v>1195</v>
      </c>
      <c r="D511" s="1" t="s">
        <v>12</v>
      </c>
      <c r="E511" s="1" t="s">
        <v>98</v>
      </c>
      <c r="F511" s="2">
        <v>1864.0</v>
      </c>
      <c r="G511" s="1" t="s">
        <v>12</v>
      </c>
      <c r="H511" s="1">
        <v>1931.0</v>
      </c>
      <c r="I511" s="1" t="s">
        <v>12</v>
      </c>
      <c r="J511" s="1" t="s">
        <v>1196</v>
      </c>
      <c r="K511" s="1" t="s">
        <v>12</v>
      </c>
      <c r="L511" s="3" t="s">
        <v>12</v>
      </c>
      <c r="M511" s="1" t="s">
        <v>12</v>
      </c>
    </row>
    <row r="512">
      <c r="A512" s="4" t="str">
        <f>hyperlink("http://historiamujeres.es/mujerl.html#LunaR","Luna Ramos, Encarnación")</f>
        <v>Luna Ramos, Encarnación</v>
      </c>
      <c r="B512" s="1" t="s">
        <v>12</v>
      </c>
      <c r="C512" s="1" t="s">
        <v>1197</v>
      </c>
      <c r="D512" s="1" t="s">
        <v>1198</v>
      </c>
      <c r="E512" s="1" t="s">
        <v>12</v>
      </c>
      <c r="F512" s="2">
        <v>1945.0</v>
      </c>
      <c r="G512" s="1" t="s">
        <v>12</v>
      </c>
      <c r="H512" s="1">
        <v>2001.0</v>
      </c>
      <c r="I512" s="1" t="s">
        <v>12</v>
      </c>
      <c r="J512" s="1" t="s">
        <v>1199</v>
      </c>
      <c r="K512" s="1" t="s">
        <v>1200</v>
      </c>
      <c r="L512" s="3" t="s">
        <v>12</v>
      </c>
      <c r="M512" s="1" t="s">
        <v>12</v>
      </c>
    </row>
    <row r="513">
      <c r="A513" s="7" t="str">
        <f>hyperlink("http://historiamujeres.es/mujerl.html#Luna_Isabel","Luna, Isabel")</f>
        <v>Luna, Isabel</v>
      </c>
      <c r="B513" s="9" t="s">
        <v>1201</v>
      </c>
      <c r="C513" s="20" t="s">
        <v>1202</v>
      </c>
      <c r="D513" s="9" t="s">
        <v>12</v>
      </c>
      <c r="E513" s="9" t="s">
        <v>12</v>
      </c>
      <c r="F513" s="29">
        <v>1860.0</v>
      </c>
      <c r="G513" s="13" t="s">
        <v>92</v>
      </c>
      <c r="H513" s="13">
        <v>1920.0</v>
      </c>
      <c r="I513" s="9" t="s">
        <v>12</v>
      </c>
      <c r="J513" s="9" t="s">
        <v>423</v>
      </c>
      <c r="K513" s="9" t="s">
        <v>554</v>
      </c>
      <c r="L513" s="19" t="s">
        <v>12</v>
      </c>
      <c r="M513" s="9" t="s">
        <v>1203</v>
      </c>
    </row>
    <row r="514">
      <c r="A514" s="4" t="str">
        <f>hyperlink("http://historiamujeres.es/mujerl.html#Luna_Manuela","Luna, Manuela")</f>
        <v>Luna, Manuela</v>
      </c>
      <c r="B514" s="1" t="s">
        <v>12</v>
      </c>
      <c r="C514" s="1" t="s">
        <v>1204</v>
      </c>
      <c r="D514" s="1" t="s">
        <v>12</v>
      </c>
      <c r="E514" s="1" t="s">
        <v>12</v>
      </c>
      <c r="F514" s="5">
        <v>1788.0</v>
      </c>
      <c r="G514" s="6" t="s">
        <v>17</v>
      </c>
      <c r="H514" s="1" t="s">
        <v>12</v>
      </c>
      <c r="I514" s="1">
        <v>1810.0</v>
      </c>
      <c r="J514" s="1" t="s">
        <v>1205</v>
      </c>
      <c r="K514" s="1" t="s">
        <v>12</v>
      </c>
      <c r="L514" s="3" t="s">
        <v>12</v>
      </c>
      <c r="M514" s="1" t="s">
        <v>12</v>
      </c>
    </row>
    <row r="515">
      <c r="A515" s="4" t="str">
        <f>hyperlink("http://historiamujeres.es/mujerl.html#LUNA ","Luna, Rita")</f>
        <v>Luna, Rita</v>
      </c>
      <c r="B515" s="1" t="s">
        <v>12</v>
      </c>
      <c r="C515" s="1" t="s">
        <v>98</v>
      </c>
      <c r="D515" s="1" t="s">
        <v>68</v>
      </c>
      <c r="E515" s="1" t="s">
        <v>12</v>
      </c>
      <c r="F515" s="2">
        <v>1770.0</v>
      </c>
      <c r="G515" s="1" t="s">
        <v>12</v>
      </c>
      <c r="H515" s="1">
        <v>1832.0</v>
      </c>
      <c r="I515" s="1" t="s">
        <v>12</v>
      </c>
      <c r="J515" s="1" t="s">
        <v>946</v>
      </c>
      <c r="K515" s="1" t="s">
        <v>12</v>
      </c>
      <c r="L515" s="3" t="s">
        <v>12</v>
      </c>
      <c r="M515" s="1" t="s">
        <v>12</v>
      </c>
    </row>
    <row r="516">
      <c r="A516" s="4" t="str">
        <f>hyperlink("http://historiamujeres.es/mujerl.html#Luque","Luque Ortiz, Aurora")</f>
        <v>Luque Ortiz, Aurora</v>
      </c>
      <c r="B516" s="1" t="s">
        <v>12</v>
      </c>
      <c r="C516" s="1" t="s">
        <v>26</v>
      </c>
      <c r="D516" s="1" t="s">
        <v>12</v>
      </c>
      <c r="E516" s="1" t="s">
        <v>12</v>
      </c>
      <c r="F516" s="2">
        <v>1962.0</v>
      </c>
      <c r="G516" s="1" t="s">
        <v>12</v>
      </c>
      <c r="H516" s="1" t="s">
        <v>12</v>
      </c>
      <c r="I516" s="1" t="s">
        <v>12</v>
      </c>
      <c r="J516" s="1" t="s">
        <v>187</v>
      </c>
      <c r="K516" s="1" t="s">
        <v>1206</v>
      </c>
      <c r="L516" s="3" t="s">
        <v>12</v>
      </c>
      <c r="M516" s="1" t="s">
        <v>12</v>
      </c>
    </row>
    <row r="517">
      <c r="A517" s="4" t="str">
        <f>hyperlink("http://historiamujeres.es/mujerl.html#Luteran","Luteranas de Sevilla. (S.XVI)")</f>
        <v>Luteranas de Sevilla. (S.XVI)</v>
      </c>
      <c r="B517" s="1" t="s">
        <v>12</v>
      </c>
      <c r="C517" s="1" t="s">
        <v>12</v>
      </c>
      <c r="D517" s="1" t="s">
        <v>12</v>
      </c>
      <c r="E517" s="1" t="s">
        <v>620</v>
      </c>
      <c r="F517" s="5">
        <v>1500.0</v>
      </c>
      <c r="G517" s="6" t="s">
        <v>43</v>
      </c>
      <c r="H517" s="6">
        <v>1600.0</v>
      </c>
      <c r="I517" s="1">
        <v>1556.0</v>
      </c>
      <c r="J517" s="1" t="s">
        <v>48</v>
      </c>
      <c r="K517" s="1" t="s">
        <v>1207</v>
      </c>
      <c r="L517" s="3" t="s">
        <v>12</v>
      </c>
      <c r="M517" s="1" t="s">
        <v>15</v>
      </c>
    </row>
    <row r="518">
      <c r="A518" s="4" t="str">
        <f>hyperlink("http://historiamujeres.es/mujerl.html#Lycoris","Lycoris")</f>
        <v>Lycoris</v>
      </c>
      <c r="B518" s="1" t="s">
        <v>1208</v>
      </c>
      <c r="C518" s="1" t="s">
        <v>1209</v>
      </c>
      <c r="D518" s="1" t="s">
        <v>317</v>
      </c>
      <c r="E518" s="1" t="s">
        <v>317</v>
      </c>
      <c r="F518" s="5">
        <v>-60.0</v>
      </c>
      <c r="G518" s="6" t="s">
        <v>43</v>
      </c>
      <c r="H518" s="6">
        <v>-10.0</v>
      </c>
      <c r="I518" s="1">
        <v>-30.0</v>
      </c>
      <c r="J518" s="1" t="s">
        <v>1210</v>
      </c>
      <c r="K518" s="1" t="s">
        <v>12</v>
      </c>
      <c r="L518" s="3" t="s">
        <v>12</v>
      </c>
      <c r="M518" s="1" t="s">
        <v>1211</v>
      </c>
    </row>
    <row r="519">
      <c r="A519" s="4" t="str">
        <f>hyperlink("http://historiamujeres.es/mujerm.html#Maestras","Maestras republicanas y de FETE-UGT. Represaliadas por el franquismo")</f>
        <v>Maestras republicanas y de FETE-UGT. Represaliadas por el franquismo</v>
      </c>
      <c r="B519" s="1" t="s">
        <v>12</v>
      </c>
      <c r="C519" s="1" t="s">
        <v>1212</v>
      </c>
      <c r="D519" s="1" t="s">
        <v>1213</v>
      </c>
      <c r="E519" s="1" t="s">
        <v>12</v>
      </c>
      <c r="F519" s="2">
        <v>1871.0</v>
      </c>
      <c r="G519" s="1" t="s">
        <v>12</v>
      </c>
      <c r="H519" s="1">
        <v>1969.0</v>
      </c>
      <c r="I519" s="1" t="s">
        <v>12</v>
      </c>
      <c r="J519" s="1" t="s">
        <v>1214</v>
      </c>
      <c r="K519" s="1" t="s">
        <v>1215</v>
      </c>
      <c r="L519" s="3" t="s">
        <v>773</v>
      </c>
      <c r="M519" s="1" t="s">
        <v>12</v>
      </c>
    </row>
    <row r="520">
      <c r="A520" s="4" t="str">
        <f>hyperlink("http://historiamujeres.es/mujerm.html#Magana","Magaña Gómez, Encarnación")</f>
        <v>Magaña Gómez, Encarnación</v>
      </c>
      <c r="B520" s="9" t="s">
        <v>1216</v>
      </c>
      <c r="C520" s="1" t="s">
        <v>1217</v>
      </c>
      <c r="D520" s="1" t="s">
        <v>26</v>
      </c>
      <c r="E520" s="1" t="s">
        <v>12</v>
      </c>
      <c r="F520" s="2">
        <v>1921.0</v>
      </c>
      <c r="H520" s="1">
        <v>1942.0</v>
      </c>
      <c r="I520" s="1" t="s">
        <v>12</v>
      </c>
      <c r="J520" s="1" t="s">
        <v>1218</v>
      </c>
      <c r="K520" s="1" t="s">
        <v>1219</v>
      </c>
      <c r="L520" s="3" t="s">
        <v>1220</v>
      </c>
      <c r="M520" s="1" t="s">
        <v>1221</v>
      </c>
    </row>
    <row r="521">
      <c r="A521" s="7" t="str">
        <f>hyperlink("http://historiamujeres.es/mujerm.html#Malaga","Málaga, Mujeres en las Calles de")</f>
        <v>Málaga, Mujeres en las Calles de</v>
      </c>
      <c r="B521" s="8" t="s">
        <v>12</v>
      </c>
      <c r="C521" s="8" t="s">
        <v>98</v>
      </c>
      <c r="D521" s="8" t="s">
        <v>12</v>
      </c>
      <c r="E521" s="8" t="s">
        <v>12</v>
      </c>
      <c r="F521" s="8">
        <v>100.0</v>
      </c>
      <c r="H521" s="8">
        <v>2021.0</v>
      </c>
      <c r="I521" s="8" t="s">
        <v>12</v>
      </c>
      <c r="J521" s="8" t="s">
        <v>14</v>
      </c>
      <c r="K521" s="8" t="s">
        <v>15</v>
      </c>
      <c r="L521" s="8" t="s">
        <v>12</v>
      </c>
      <c r="M521" t="s">
        <v>1222</v>
      </c>
    </row>
    <row r="522">
      <c r="A522" s="4" t="str">
        <f>hyperlink("http://historiamujeres.es/mujerm.html#Maldonado","Maldonado, Brigida de")</f>
        <v>Maldonado, Brigida de</v>
      </c>
      <c r="B522" s="1" t="s">
        <v>12</v>
      </c>
      <c r="C522" s="1" t="s">
        <v>1223</v>
      </c>
      <c r="D522" s="1" t="s">
        <v>251</v>
      </c>
      <c r="E522" s="1" t="s">
        <v>27</v>
      </c>
      <c r="F522" s="5">
        <v>1510.0</v>
      </c>
      <c r="G522" s="6" t="s">
        <v>43</v>
      </c>
      <c r="H522" s="6">
        <v>1560.0</v>
      </c>
      <c r="I522" s="1">
        <v>1541.0</v>
      </c>
      <c r="J522" s="1" t="s">
        <v>1224</v>
      </c>
      <c r="K522" s="1" t="s">
        <v>12</v>
      </c>
      <c r="L522" s="3" t="s">
        <v>12</v>
      </c>
      <c r="M522" s="1" t="s">
        <v>1225</v>
      </c>
    </row>
    <row r="523">
      <c r="A523" s="4" t="str">
        <f>hyperlink("http://historiamujeres.es/mujerm.html#Malika","Malika Fadel ben Salvador")</f>
        <v>Malika Fadel ben Salvador</v>
      </c>
      <c r="B523" s="1" t="s">
        <v>12</v>
      </c>
      <c r="C523" s="1" t="s">
        <v>26</v>
      </c>
      <c r="D523" s="1" t="s">
        <v>1226</v>
      </c>
      <c r="E523" s="1" t="s">
        <v>12</v>
      </c>
      <c r="F523" s="16">
        <v>1302.0</v>
      </c>
      <c r="G523" s="6" t="s">
        <v>92</v>
      </c>
      <c r="H523" s="6">
        <v>1355.0</v>
      </c>
      <c r="J523" s="1" t="s">
        <v>1227</v>
      </c>
      <c r="K523" s="1" t="s">
        <v>12</v>
      </c>
      <c r="L523" s="3" t="s">
        <v>12</v>
      </c>
      <c r="M523" s="1" t="s">
        <v>1228</v>
      </c>
    </row>
    <row r="524">
      <c r="A524" s="4" t="str">
        <f>hyperlink("http://historiamujeres.es/mujerm.html#Manchn","Manchón Portillo, Beatriz")</f>
        <v>Manchón Portillo, Beatriz</v>
      </c>
      <c r="B524" s="1" t="s">
        <v>12</v>
      </c>
      <c r="C524" s="1" t="s">
        <v>620</v>
      </c>
      <c r="D524" s="1" t="s">
        <v>12</v>
      </c>
      <c r="E524" s="1" t="s">
        <v>12</v>
      </c>
      <c r="F524" s="2">
        <v>1976.0</v>
      </c>
      <c r="G524" s="1" t="s">
        <v>12</v>
      </c>
      <c r="H524" s="1" t="s">
        <v>12</v>
      </c>
      <c r="I524" s="1" t="s">
        <v>12</v>
      </c>
      <c r="J524" s="1" t="s">
        <v>1229</v>
      </c>
      <c r="K524" s="1" t="s">
        <v>12</v>
      </c>
      <c r="L524" s="3" t="s">
        <v>12</v>
      </c>
      <c r="M524" s="1" t="s">
        <v>1230</v>
      </c>
    </row>
    <row r="525">
      <c r="A525" s="4" t="str">
        <f>hyperlink("http://historiamujeres.es/mujerm.html#Manero","Manero Rodríguez, Carmen")</f>
        <v>Manero Rodríguez, Carmen</v>
      </c>
      <c r="B525" s="1" t="s">
        <v>12</v>
      </c>
      <c r="C525" s="1" t="s">
        <v>12</v>
      </c>
      <c r="D525" s="1" t="s">
        <v>12</v>
      </c>
      <c r="E525" s="1" t="s">
        <v>205</v>
      </c>
      <c r="F525" s="5">
        <v>1940.0</v>
      </c>
      <c r="G525" s="6" t="s">
        <v>17</v>
      </c>
      <c r="H525" s="1" t="s">
        <v>12</v>
      </c>
      <c r="I525" s="1">
        <v>1972.0</v>
      </c>
      <c r="J525" s="1" t="s">
        <v>12</v>
      </c>
      <c r="K525" s="1" t="s">
        <v>12</v>
      </c>
      <c r="L525" s="3" t="s">
        <v>12</v>
      </c>
      <c r="M525" s="1" t="s">
        <v>1231</v>
      </c>
    </row>
    <row r="526">
      <c r="A526" s="4" t="str">
        <f>hyperlink("http://historiamujeres.es/mujerm.html#MARTNEZca","Mantínez Castro, María")</f>
        <v>Mantínez Castro, María</v>
      </c>
      <c r="B526" s="1" t="s">
        <v>12</v>
      </c>
      <c r="C526" s="1" t="s">
        <v>136</v>
      </c>
      <c r="D526" s="1" t="s">
        <v>12</v>
      </c>
      <c r="E526" s="1" t="s">
        <v>12</v>
      </c>
      <c r="F526" s="2">
        <v>1951.0</v>
      </c>
      <c r="G526" s="1" t="s">
        <v>12</v>
      </c>
      <c r="H526" s="1" t="s">
        <v>12</v>
      </c>
      <c r="I526" s="1" t="s">
        <v>12</v>
      </c>
      <c r="J526" s="1" t="s">
        <v>171</v>
      </c>
      <c r="K526" s="1" t="s">
        <v>12</v>
      </c>
      <c r="L526" s="3" t="s">
        <v>12</v>
      </c>
      <c r="M526" s="1" t="s">
        <v>12</v>
      </c>
    </row>
    <row r="527">
      <c r="A527" s="4" t="str">
        <f>hyperlink("http://historiamujeres.es/mujerm.html#Manuel","Manuel, Doña Guiomar")</f>
        <v>Manuel, Doña Guiomar</v>
      </c>
      <c r="B527" s="1" t="s">
        <v>12</v>
      </c>
      <c r="C527" s="1" t="s">
        <v>27</v>
      </c>
      <c r="D527" s="1" t="s">
        <v>27</v>
      </c>
      <c r="E527" s="1" t="s">
        <v>12</v>
      </c>
      <c r="F527" s="5">
        <v>1345.0</v>
      </c>
      <c r="G527" s="6" t="s">
        <v>17</v>
      </c>
      <c r="H527" s="1">
        <v>1426.0</v>
      </c>
      <c r="I527" s="1" t="s">
        <v>12</v>
      </c>
      <c r="J527" s="1" t="s">
        <v>1232</v>
      </c>
      <c r="K527" s="1" t="s">
        <v>12</v>
      </c>
      <c r="L527" s="3" t="s">
        <v>12</v>
      </c>
      <c r="M527" s="1" t="s">
        <v>12</v>
      </c>
    </row>
    <row r="528">
      <c r="A528" s="4" t="str">
        <f>hyperlink("http://historiamujeres.es/mujerm.html#Manasl","Mañas Lahoz, Pilar")</f>
        <v>Mañas Lahoz, Pilar</v>
      </c>
      <c r="B528" s="1" t="s">
        <v>12</v>
      </c>
      <c r="C528" s="1" t="s">
        <v>1233</v>
      </c>
      <c r="D528" s="1" t="s">
        <v>12</v>
      </c>
      <c r="E528" s="1" t="s">
        <v>30</v>
      </c>
      <c r="F528" s="2">
        <v>1952.0</v>
      </c>
      <c r="G528" s="1" t="s">
        <v>12</v>
      </c>
      <c r="H528" s="1" t="s">
        <v>12</v>
      </c>
      <c r="I528" s="1" t="s">
        <v>12</v>
      </c>
      <c r="J528" s="1" t="s">
        <v>1234</v>
      </c>
      <c r="K528" s="1" t="s">
        <v>1235</v>
      </c>
      <c r="L528" s="3" t="s">
        <v>12</v>
      </c>
      <c r="M528" s="1" t="s">
        <v>124</v>
      </c>
    </row>
    <row r="529">
      <c r="A529" s="4" t="str">
        <f>hyperlink("http://historiamujeres.es/mujern.html#Nelken","Margarita Nelken Mansberge")</f>
        <v>Margarita Nelken Mansberge</v>
      </c>
      <c r="B529" s="1" t="s">
        <v>12</v>
      </c>
      <c r="C529" s="1" t="s">
        <v>68</v>
      </c>
      <c r="D529" s="1" t="s">
        <v>1236</v>
      </c>
      <c r="E529" s="1" t="s">
        <v>98</v>
      </c>
      <c r="F529" s="2">
        <v>1896.0</v>
      </c>
      <c r="G529" s="1" t="s">
        <v>12</v>
      </c>
      <c r="H529" s="1">
        <v>1968.0</v>
      </c>
      <c r="I529" s="1" t="s">
        <v>12</v>
      </c>
      <c r="J529" s="1" t="s">
        <v>1237</v>
      </c>
      <c r="K529" s="1" t="s">
        <v>80</v>
      </c>
      <c r="L529" s="3" t="s">
        <v>1105</v>
      </c>
      <c r="M529" s="1" t="s">
        <v>12</v>
      </c>
    </row>
    <row r="530">
      <c r="A530" s="4" t="str">
        <f>hyperlink("http://historiamujeres.es/mujerm.html#Marhuenda","Marhuenda Requena, Elisar")</f>
        <v>Marhuenda Requena, Elisar</v>
      </c>
      <c r="B530" s="1" t="s">
        <v>12</v>
      </c>
      <c r="C530" s="1" t="s">
        <v>12</v>
      </c>
      <c r="D530" s="1" t="s">
        <v>12</v>
      </c>
      <c r="E530" s="1" t="s">
        <v>27</v>
      </c>
      <c r="F530" s="5">
        <v>1950.0</v>
      </c>
      <c r="G530" s="6" t="s">
        <v>17</v>
      </c>
      <c r="H530" s="1" t="s">
        <v>12</v>
      </c>
      <c r="I530" s="1">
        <v>1996.0</v>
      </c>
      <c r="J530" s="1" t="s">
        <v>1238</v>
      </c>
      <c r="K530" s="1" t="s">
        <v>12</v>
      </c>
      <c r="L530" s="3" t="s">
        <v>12</v>
      </c>
      <c r="M530" s="1" t="s">
        <v>276</v>
      </c>
    </row>
    <row r="531">
      <c r="A531" s="4" t="str">
        <f>hyperlink("http://historiamujeres.es/mujerf.html#FLORA","Maria")</f>
        <v>Maria</v>
      </c>
      <c r="B531" s="1" t="s">
        <v>706</v>
      </c>
      <c r="C531" s="1" t="s">
        <v>12</v>
      </c>
      <c r="D531" s="1" t="s">
        <v>24</v>
      </c>
      <c r="E531" s="1" t="s">
        <v>12</v>
      </c>
      <c r="F531" s="5">
        <v>825.0</v>
      </c>
      <c r="G531" s="6" t="s">
        <v>17</v>
      </c>
      <c r="H531" s="1">
        <v>851.0</v>
      </c>
      <c r="I531" s="1" t="s">
        <v>12</v>
      </c>
      <c r="J531" s="1" t="s">
        <v>441</v>
      </c>
      <c r="K531" s="1" t="s">
        <v>12</v>
      </c>
      <c r="L531" s="3" t="s">
        <v>12</v>
      </c>
      <c r="M531" s="1" t="s">
        <v>72</v>
      </c>
    </row>
    <row r="532">
      <c r="A532" s="4" t="str">
        <f>hyperlink("http://historiamujeres.es/mujerm.html#MARIAbo","María Borrico")</f>
        <v>María Borrico</v>
      </c>
      <c r="B532" s="1" t="s">
        <v>12</v>
      </c>
      <c r="C532" s="1" t="s">
        <v>1239</v>
      </c>
      <c r="D532" s="1" t="s">
        <v>12</v>
      </c>
      <c r="E532" s="1" t="s">
        <v>191</v>
      </c>
      <c r="F532" s="5">
        <v>1850.0</v>
      </c>
      <c r="G532" s="6" t="s">
        <v>17</v>
      </c>
      <c r="H532" s="1" t="s">
        <v>12</v>
      </c>
      <c r="I532" s="1" t="s">
        <v>12</v>
      </c>
      <c r="J532" s="1" t="s">
        <v>69</v>
      </c>
      <c r="K532" s="1" t="s">
        <v>12</v>
      </c>
      <c r="L532" s="3" t="s">
        <v>12</v>
      </c>
      <c r="M532" s="1" t="s">
        <v>12</v>
      </c>
    </row>
    <row r="533">
      <c r="A533" s="24" t="s">
        <v>1240</v>
      </c>
      <c r="B533" s="9" t="s">
        <v>1241</v>
      </c>
      <c r="C533" s="9" t="s">
        <v>1242</v>
      </c>
      <c r="D533" s="9" t="s">
        <v>1243</v>
      </c>
      <c r="E533" s="9" t="s">
        <v>12</v>
      </c>
      <c r="F533" s="13">
        <v>1480.0</v>
      </c>
      <c r="G533" s="13" t="s">
        <v>43</v>
      </c>
      <c r="H533" s="13">
        <v>1540.0</v>
      </c>
      <c r="I533" s="9" t="s">
        <v>12</v>
      </c>
      <c r="J533" s="9" t="s">
        <v>1244</v>
      </c>
      <c r="K533" s="9" t="s">
        <v>12</v>
      </c>
      <c r="L533" s="9" t="s">
        <v>12</v>
      </c>
      <c r="M533" s="9" t="s">
        <v>1245</v>
      </c>
    </row>
    <row r="534">
      <c r="A534" s="4" t="str">
        <f>hyperlink("http://historiamujeres.es/vidas/jimenez-cisneros-maria-josefa.html","María Josefa Jiménez Cisneros")</f>
        <v>María Josefa Jiménez Cisneros</v>
      </c>
      <c r="B534" s="8" t="s">
        <v>12</v>
      </c>
      <c r="C534" s="8" t="s">
        <v>205</v>
      </c>
      <c r="D534" s="8" t="s">
        <v>205</v>
      </c>
      <c r="E534" s="8" t="s">
        <v>12</v>
      </c>
      <c r="F534" s="8">
        <v>1916.0</v>
      </c>
      <c r="G534" s="8" t="s">
        <v>12</v>
      </c>
      <c r="H534" s="8">
        <v>2002.0</v>
      </c>
      <c r="J534" s="8" t="s">
        <v>698</v>
      </c>
      <c r="K534" s="8" t="s">
        <v>12</v>
      </c>
      <c r="L534" s="8" t="s">
        <v>12</v>
      </c>
      <c r="M534" s="9" t="s">
        <v>1246</v>
      </c>
    </row>
    <row r="535">
      <c r="A535" s="4" t="str">
        <f>hyperlink("http://historiamujeres.es/mujerv.html#Virgen","María, Virgen")</f>
        <v>María, Virgen</v>
      </c>
      <c r="B535" s="1" t="s">
        <v>1247</v>
      </c>
      <c r="C535" s="1" t="s">
        <v>575</v>
      </c>
      <c r="D535" s="1" t="s">
        <v>1248</v>
      </c>
      <c r="E535" s="1" t="s">
        <v>144</v>
      </c>
      <c r="F535" s="5" t="s">
        <v>1249</v>
      </c>
      <c r="G535" s="6" t="s">
        <v>43</v>
      </c>
      <c r="H535" s="6">
        <v>40.0</v>
      </c>
      <c r="I535" s="1">
        <v>-4.0</v>
      </c>
      <c r="J535" s="1" t="s">
        <v>1250</v>
      </c>
      <c r="K535" s="1" t="s">
        <v>12</v>
      </c>
      <c r="L535" s="3" t="s">
        <v>12</v>
      </c>
      <c r="M535" s="1" t="s">
        <v>1251</v>
      </c>
    </row>
    <row r="536">
      <c r="A536" s="4" t="str">
        <f>hyperlink("http://historiamujeres.es/mujerm.html#MARINa","Marín Asensio, Juana")</f>
        <v>Marín Asensio, Juana</v>
      </c>
      <c r="B536" s="1" t="s">
        <v>12</v>
      </c>
      <c r="C536" s="1" t="s">
        <v>1252</v>
      </c>
      <c r="D536" s="1" t="s">
        <v>12</v>
      </c>
      <c r="E536" s="1" t="s">
        <v>12</v>
      </c>
      <c r="F536" s="2">
        <v>1912.0</v>
      </c>
      <c r="G536" s="1" t="s">
        <v>12</v>
      </c>
      <c r="H536" s="1" t="s">
        <v>12</v>
      </c>
      <c r="I536" s="1" t="s">
        <v>12</v>
      </c>
      <c r="J536" s="1" t="s">
        <v>1253</v>
      </c>
      <c r="K536" s="1" t="s">
        <v>12</v>
      </c>
      <c r="L536" s="3" t="s">
        <v>12</v>
      </c>
      <c r="M536" s="1" t="s">
        <v>12</v>
      </c>
    </row>
    <row r="537">
      <c r="A537" s="4" t="str">
        <f>hyperlink("http://historiamujeres.es/vidas/Marin-Labrador-Maria.html","Marín Labrador, María")</f>
        <v>Marín Labrador, María</v>
      </c>
      <c r="B537" s="56" t="s">
        <v>12</v>
      </c>
      <c r="C537" s="9" t="s">
        <v>205</v>
      </c>
      <c r="D537" s="9" t="s">
        <v>542</v>
      </c>
      <c r="E537" s="9" t="s">
        <v>12</v>
      </c>
      <c r="F537" s="15">
        <v>1870.0</v>
      </c>
      <c r="G537" s="9" t="s">
        <v>12</v>
      </c>
      <c r="H537" s="9">
        <v>1929.0</v>
      </c>
      <c r="I537" s="9" t="s">
        <v>12</v>
      </c>
      <c r="J537" s="9" t="s">
        <v>1254</v>
      </c>
      <c r="K537" s="9" t="s">
        <v>1255</v>
      </c>
      <c r="L537" s="14" t="s">
        <v>373</v>
      </c>
      <c r="M537" s="9" t="s">
        <v>12</v>
      </c>
    </row>
    <row r="538">
      <c r="A538" s="7" t="str">
        <f>hyperlink("http://historiamujeres.es/mujerm.html#Marin_Martin","Marín Martín, Carolina")</f>
        <v>Marín Martín, Carolina</v>
      </c>
      <c r="B538" s="9" t="s">
        <v>12</v>
      </c>
      <c r="C538" s="9" t="s">
        <v>129</v>
      </c>
      <c r="D538" s="9" t="s">
        <v>12</v>
      </c>
      <c r="E538" s="9" t="s">
        <v>12</v>
      </c>
      <c r="F538" s="15">
        <v>1993.0</v>
      </c>
      <c r="G538" s="9" t="s">
        <v>12</v>
      </c>
      <c r="H538" s="9" t="s">
        <v>12</v>
      </c>
      <c r="I538" s="9" t="s">
        <v>12</v>
      </c>
      <c r="J538" s="9" t="s">
        <v>1256</v>
      </c>
      <c r="K538" s="1"/>
      <c r="L538" s="3"/>
      <c r="M538" s="9" t="s">
        <v>784</v>
      </c>
    </row>
    <row r="539">
      <c r="A539" s="11" t="str">
        <f>hyperlink("http://historiamujeres.es/mujerm.html#Marmolejenas","Marmolejeñas, las primeras españolas en votar")</f>
        <v>Marmolejeñas, las primeras españolas en votar</v>
      </c>
      <c r="B539" s="1" t="s">
        <v>12</v>
      </c>
      <c r="C539" s="9" t="s">
        <v>1257</v>
      </c>
      <c r="D539" s="9" t="s">
        <v>1257</v>
      </c>
      <c r="E539" s="1" t="s">
        <v>12</v>
      </c>
      <c r="F539" s="9">
        <v>1933.0</v>
      </c>
      <c r="G539" s="9" t="s">
        <v>12</v>
      </c>
      <c r="H539" s="9" t="s">
        <v>12</v>
      </c>
      <c r="I539" s="1" t="s">
        <v>12</v>
      </c>
      <c r="J539" s="9" t="s">
        <v>1258</v>
      </c>
      <c r="K539" s="1" t="s">
        <v>12</v>
      </c>
      <c r="L539" s="3" t="s">
        <v>12</v>
      </c>
      <c r="M539" s="9" t="s">
        <v>1259</v>
      </c>
    </row>
    <row r="540">
      <c r="A540" s="4" t="str">
        <f>hyperlink("http://historiamujeres.es/mujerm.html#Maroto","Maroto Vela, María del Carmen")</f>
        <v>Maroto Vela, María del Carmen</v>
      </c>
      <c r="B540" s="1" t="s">
        <v>12</v>
      </c>
      <c r="C540" s="1" t="s">
        <v>68</v>
      </c>
      <c r="D540" s="1" t="s">
        <v>12</v>
      </c>
      <c r="E540" s="1" t="s">
        <v>30</v>
      </c>
      <c r="F540" s="2">
        <v>1938.0</v>
      </c>
      <c r="G540" s="1" t="s">
        <v>12</v>
      </c>
      <c r="H540" s="1" t="s">
        <v>12</v>
      </c>
      <c r="I540" s="1" t="s">
        <v>12</v>
      </c>
      <c r="J540" s="1" t="s">
        <v>1260</v>
      </c>
      <c r="K540" s="1" t="s">
        <v>12</v>
      </c>
      <c r="L540" s="3" t="s">
        <v>12</v>
      </c>
      <c r="M540" s="1" t="s">
        <v>1261</v>
      </c>
    </row>
    <row r="541">
      <c r="A541" s="4" t="str">
        <f>hyperlink("http://historiamujeres.es/mujerm.html#MARTEL","Martel y Viniegra, Carmen")</f>
        <v>Martel y Viniegra, Carmen</v>
      </c>
      <c r="B541" s="1" t="s">
        <v>12</v>
      </c>
      <c r="C541" s="1" t="s">
        <v>205</v>
      </c>
      <c r="D541" s="1" t="s">
        <v>12</v>
      </c>
      <c r="E541" s="1" t="s">
        <v>12</v>
      </c>
      <c r="F541" s="2">
        <v>1915.0</v>
      </c>
      <c r="G541" s="1" t="s">
        <v>12</v>
      </c>
      <c r="H541" s="1">
        <v>1973.0</v>
      </c>
      <c r="I541" s="1" t="s">
        <v>12</v>
      </c>
      <c r="J541" s="1" t="s">
        <v>1262</v>
      </c>
      <c r="K541" s="1" t="s">
        <v>12</v>
      </c>
      <c r="L541" s="3" t="s">
        <v>12</v>
      </c>
      <c r="M541" s="1" t="s">
        <v>12</v>
      </c>
    </row>
    <row r="542">
      <c r="A542" s="4" t="str">
        <f>hyperlink("http://historiamujeres.es/mujerm.html#Martnba ","Martín Barhié, Victoria")</f>
        <v>Martín Barhié, Victoria</v>
      </c>
      <c r="B542" s="1" t="s">
        <v>12</v>
      </c>
      <c r="C542" s="1" t="s">
        <v>205</v>
      </c>
      <c r="D542" s="1" t="s">
        <v>12</v>
      </c>
      <c r="E542" s="1" t="s">
        <v>12</v>
      </c>
      <c r="F542" s="2">
        <v>1794.0</v>
      </c>
      <c r="G542" s="1" t="s">
        <v>12</v>
      </c>
      <c r="H542" s="1">
        <v>1869.0</v>
      </c>
      <c r="I542" s="1" t="s">
        <v>12</v>
      </c>
      <c r="J542" s="1" t="s">
        <v>65</v>
      </c>
      <c r="K542" s="1" t="s">
        <v>12</v>
      </c>
      <c r="L542" s="3" t="s">
        <v>12</v>
      </c>
      <c r="M542" s="1" t="s">
        <v>1231</v>
      </c>
    </row>
    <row r="543">
      <c r="A543" s="4" t="str">
        <f>hyperlink("http://historiamujeres.es/mujerm.html#Martinfe","Martín Ferrero, María de la Paz")</f>
        <v>Martín Ferrero, María de la Paz</v>
      </c>
      <c r="B543" s="1" t="s">
        <v>12</v>
      </c>
      <c r="C543" s="1" t="s">
        <v>1263</v>
      </c>
      <c r="D543" s="1" t="s">
        <v>12</v>
      </c>
      <c r="E543" s="1" t="s">
        <v>205</v>
      </c>
      <c r="F543" s="2">
        <v>1946.0</v>
      </c>
      <c r="G543" s="1" t="s">
        <v>12</v>
      </c>
      <c r="H543" s="1" t="s">
        <v>12</v>
      </c>
      <c r="I543" s="1" t="s">
        <v>12</v>
      </c>
      <c r="J543" s="1" t="s">
        <v>208</v>
      </c>
      <c r="K543" s="1" t="s">
        <v>113</v>
      </c>
      <c r="L543" s="3" t="s">
        <v>1264</v>
      </c>
      <c r="M543" s="1" t="s">
        <v>1265</v>
      </c>
    </row>
    <row r="544">
      <c r="A544" s="4" t="str">
        <f>hyperlink("http://historiamujeres.es/mujerm.html#Martinma","Martín Manzano, Juana")</f>
        <v>Martín Manzano, Juana</v>
      </c>
      <c r="B544" s="1" t="s">
        <v>12</v>
      </c>
      <c r="C544" s="1" t="s">
        <v>24</v>
      </c>
      <c r="D544" s="1" t="s">
        <v>12</v>
      </c>
      <c r="E544" s="1" t="s">
        <v>12</v>
      </c>
      <c r="F544" s="2">
        <v>1975.0</v>
      </c>
      <c r="G544" s="1" t="s">
        <v>12</v>
      </c>
      <c r="H544" s="1" t="s">
        <v>12</v>
      </c>
      <c r="I544" s="1" t="s">
        <v>12</v>
      </c>
      <c r="J544" s="1" t="s">
        <v>1266</v>
      </c>
      <c r="K544" s="1" t="s">
        <v>12</v>
      </c>
      <c r="L544" s="3" t="s">
        <v>12</v>
      </c>
      <c r="M544" s="1" t="s">
        <v>12</v>
      </c>
    </row>
    <row r="545">
      <c r="A545" s="7" t="str">
        <f>hyperlink("http://historiamujeres.es/medalla/martin-mata.html","Martín Mata, Vanesa")</f>
        <v>Martín Mata, Vanesa</v>
      </c>
      <c r="B545" s="8" t="s">
        <v>12</v>
      </c>
      <c r="C545" s="8" t="s">
        <v>98</v>
      </c>
      <c r="D545" s="8" t="s">
        <v>12</v>
      </c>
      <c r="E545" s="8" t="s">
        <v>12</v>
      </c>
      <c r="F545" s="8">
        <v>1980.0</v>
      </c>
      <c r="H545" s="8" t="s">
        <v>12</v>
      </c>
      <c r="I545" s="8" t="s">
        <v>12</v>
      </c>
      <c r="J545" s="8" t="s">
        <v>51</v>
      </c>
      <c r="K545" s="8" t="s">
        <v>516</v>
      </c>
      <c r="L545" s="8" t="s">
        <v>12</v>
      </c>
      <c r="M545" s="8" t="s">
        <v>1267</v>
      </c>
    </row>
    <row r="546">
      <c r="A546" s="7" t="str">
        <f>hyperlink("http://historiamujeres.es/mujerm.html#Martin_Perez","Martín Pérez, María Josefa")</f>
        <v>Martín Pérez, María Josefa</v>
      </c>
      <c r="B546" s="9" t="s">
        <v>12</v>
      </c>
      <c r="C546" s="20" t="s">
        <v>1268</v>
      </c>
      <c r="D546" s="9" t="s">
        <v>12</v>
      </c>
      <c r="E546" s="9" t="s">
        <v>12</v>
      </c>
      <c r="F546" s="20">
        <v>1946.0</v>
      </c>
      <c r="G546" s="21" t="s">
        <v>12</v>
      </c>
      <c r="H546" s="21" t="s">
        <v>12</v>
      </c>
      <c r="I546" s="9" t="s">
        <v>12</v>
      </c>
      <c r="J546" s="9" t="s">
        <v>1269</v>
      </c>
      <c r="K546" s="9" t="s">
        <v>12</v>
      </c>
      <c r="L546" s="19" t="s">
        <v>12</v>
      </c>
      <c r="M546" s="9" t="s">
        <v>1270</v>
      </c>
    </row>
    <row r="547">
      <c r="A547" s="4" t="str">
        <f>hyperlink("http://historiamujeres.es/mujerm.html#Martin_Vargas","Martín Vargas, María")</f>
        <v>Martín Vargas, María</v>
      </c>
      <c r="B547" s="1" t="s">
        <v>12</v>
      </c>
      <c r="C547" s="1" t="s">
        <v>768</v>
      </c>
      <c r="D547" s="1" t="s">
        <v>12</v>
      </c>
      <c r="E547" s="1" t="s">
        <v>12</v>
      </c>
      <c r="F547" s="2">
        <v>1923.0</v>
      </c>
      <c r="G547" s="1" t="s">
        <v>12</v>
      </c>
      <c r="H547" s="1" t="s">
        <v>12</v>
      </c>
      <c r="I547" s="1" t="s">
        <v>12</v>
      </c>
      <c r="J547" s="1" t="s">
        <v>214</v>
      </c>
      <c r="K547" s="1" t="s">
        <v>12</v>
      </c>
      <c r="L547" s="3" t="s">
        <v>12</v>
      </c>
      <c r="M547" s="1" t="s">
        <v>12</v>
      </c>
    </row>
    <row r="548">
      <c r="A548" s="4" t="str">
        <f>hyperlink("http://historiamujeres.es/mujerm.html#MARTNvi","Martín Vivaldi, Elena")</f>
        <v>Martín Vivaldi, Elena</v>
      </c>
      <c r="B548" s="1" t="s">
        <v>12</v>
      </c>
      <c r="C548" s="1" t="s">
        <v>30</v>
      </c>
      <c r="D548" s="1" t="s">
        <v>30</v>
      </c>
      <c r="E548" s="1" t="s">
        <v>12</v>
      </c>
      <c r="F548" s="2">
        <v>1907.0</v>
      </c>
      <c r="G548" s="1" t="s">
        <v>12</v>
      </c>
      <c r="H548" s="1">
        <v>1998.0</v>
      </c>
      <c r="I548" s="1" t="s">
        <v>12</v>
      </c>
      <c r="J548" s="1" t="s">
        <v>216</v>
      </c>
      <c r="K548" s="1" t="s">
        <v>964</v>
      </c>
      <c r="L548" s="3" t="s">
        <v>12</v>
      </c>
      <c r="M548" s="1" t="s">
        <v>12</v>
      </c>
    </row>
    <row r="549">
      <c r="A549" s="4" t="str">
        <f>hyperlink("http://historiamujeres.es/mujerm.html#Mart%EDn-C","Martín-Cano Abreu, Francisca")</f>
        <v>Martín-Cano Abreu, Francisca</v>
      </c>
      <c r="B549" s="1" t="s">
        <v>12</v>
      </c>
      <c r="C549" s="1" t="s">
        <v>1271</v>
      </c>
      <c r="D549" s="1" t="s">
        <v>12</v>
      </c>
      <c r="E549" s="1" t="s">
        <v>1272</v>
      </c>
      <c r="F549" s="2">
        <v>1953.0</v>
      </c>
      <c r="G549" s="1" t="s">
        <v>12</v>
      </c>
      <c r="H549" s="1" t="s">
        <v>12</v>
      </c>
      <c r="I549" s="1" t="s">
        <v>12</v>
      </c>
      <c r="J549" s="1" t="s">
        <v>1273</v>
      </c>
      <c r="K549" s="1" t="s">
        <v>1274</v>
      </c>
      <c r="L549" s="3" t="s">
        <v>80</v>
      </c>
      <c r="M549" s="1" t="s">
        <v>12</v>
      </c>
    </row>
    <row r="550">
      <c r="A550" s="11" t="str">
        <f>hyperlink("http://historiamujeres.es/mujerm.html#Martinez_de_Loreto","Martínez de Loreto, María")</f>
        <v>Martínez de Loreto, María</v>
      </c>
      <c r="B550" s="9" t="s">
        <v>1275</v>
      </c>
      <c r="C550" s="9" t="s">
        <v>1276</v>
      </c>
      <c r="D550" s="9" t="s">
        <v>12</v>
      </c>
      <c r="E550" s="9" t="s">
        <v>27</v>
      </c>
      <c r="F550" s="15">
        <v>1820.0</v>
      </c>
      <c r="G550" s="13" t="s">
        <v>92</v>
      </c>
      <c r="H550" s="13">
        <v>1870.0</v>
      </c>
      <c r="I550" s="9" t="s">
        <v>12</v>
      </c>
      <c r="J550" s="9" t="s">
        <v>1277</v>
      </c>
      <c r="K550" s="9" t="s">
        <v>1278</v>
      </c>
      <c r="L550" s="14" t="s">
        <v>12</v>
      </c>
      <c r="M550" s="9" t="s">
        <v>1279</v>
      </c>
    </row>
    <row r="551">
      <c r="A551" s="7" t="str">
        <f>hyperlink("http://historiamujeres.es/mujerm.html#Martinez_Fernandez","Martínez Fernández, Jennifer Jessica")</f>
        <v>Martínez Fernández, Jennifer Jessica</v>
      </c>
      <c r="B551" s="8" t="s">
        <v>1280</v>
      </c>
      <c r="C551" s="8" t="s">
        <v>24</v>
      </c>
      <c r="D551" s="8" t="s">
        <v>12</v>
      </c>
      <c r="E551" s="8" t="s">
        <v>12</v>
      </c>
      <c r="F551" s="8">
        <v>1985.0</v>
      </c>
      <c r="G551" s="8" t="s">
        <v>12</v>
      </c>
      <c r="H551" s="8" t="s">
        <v>12</v>
      </c>
      <c r="I551" s="8" t="s">
        <v>12</v>
      </c>
      <c r="J551" s="8" t="s">
        <v>99</v>
      </c>
      <c r="K551" s="8" t="s">
        <v>12</v>
      </c>
      <c r="L551" s="8" t="s">
        <v>12</v>
      </c>
      <c r="M551" s="8" t="s">
        <v>12</v>
      </c>
    </row>
    <row r="552">
      <c r="A552" s="4" t="str">
        <f>hyperlink("http://historiamujeres.es/mujerm.html#Martinez_Garcia_Rosalia","Martínez García, Rosalía")</f>
        <v>Martínez García, Rosalía</v>
      </c>
      <c r="B552" s="1" t="s">
        <v>12</v>
      </c>
      <c r="C552" s="1" t="s">
        <v>27</v>
      </c>
      <c r="D552" s="1" t="s">
        <v>12</v>
      </c>
      <c r="E552" s="1" t="s">
        <v>12</v>
      </c>
      <c r="F552" s="5">
        <v>1955.0</v>
      </c>
      <c r="G552" s="6" t="s">
        <v>17</v>
      </c>
      <c r="H552" s="1" t="s">
        <v>12</v>
      </c>
      <c r="I552" s="1">
        <v>1992.0</v>
      </c>
      <c r="J552" s="1" t="s">
        <v>1281</v>
      </c>
      <c r="K552" s="1" t="s">
        <v>12</v>
      </c>
      <c r="L552" s="3" t="s">
        <v>12</v>
      </c>
      <c r="M552" s="1" t="s">
        <v>1282</v>
      </c>
    </row>
    <row r="553">
      <c r="A553" s="4" t="str">
        <f>hyperlink("http://historiamujeres.es/mujerm.html#Martnezl","Martínez López, Candida")</f>
        <v>Martínez López, Candida</v>
      </c>
      <c r="B553" s="1" t="s">
        <v>12</v>
      </c>
      <c r="C553" s="1" t="s">
        <v>1283</v>
      </c>
      <c r="D553" s="1" t="s">
        <v>12</v>
      </c>
      <c r="E553" s="1" t="s">
        <v>12</v>
      </c>
      <c r="F553" s="2">
        <v>1951.0</v>
      </c>
      <c r="G553" s="1" t="s">
        <v>12</v>
      </c>
      <c r="H553" s="1" t="s">
        <v>12</v>
      </c>
      <c r="I553" s="1" t="s">
        <v>12</v>
      </c>
      <c r="J553" s="1" t="s">
        <v>22</v>
      </c>
      <c r="K553" s="1" t="s">
        <v>1284</v>
      </c>
      <c r="L553" s="3" t="s">
        <v>12</v>
      </c>
      <c r="M553" s="1" t="s">
        <v>1285</v>
      </c>
    </row>
    <row r="554">
      <c r="A554" s="4" t="str">
        <f>hyperlink("http://historiamujeres.es/mujerm.html#Martinezloro","Martínez López, Rosario")</f>
        <v>Martínez López, Rosario</v>
      </c>
      <c r="B554" s="1" t="s">
        <v>12</v>
      </c>
      <c r="C554" s="1" t="s">
        <v>12</v>
      </c>
      <c r="D554" s="1" t="s">
        <v>12</v>
      </c>
      <c r="E554" s="1" t="s">
        <v>205</v>
      </c>
      <c r="F554" s="5">
        <v>1950.0</v>
      </c>
      <c r="G554" s="6" t="s">
        <v>17</v>
      </c>
      <c r="H554" s="1" t="s">
        <v>12</v>
      </c>
      <c r="I554" s="1">
        <v>2001.0</v>
      </c>
      <c r="J554" s="1" t="s">
        <v>964</v>
      </c>
      <c r="K554" s="1" t="s">
        <v>12</v>
      </c>
      <c r="L554" s="3" t="s">
        <v>12</v>
      </c>
      <c r="M554" s="1" t="s">
        <v>1231</v>
      </c>
    </row>
    <row r="555">
      <c r="A555" s="11" t="str">
        <f>hyperlink("http://historiamujeres.es/mujerm.html#Martinez_Mo","Martínez Moreno, Remedios")</f>
        <v>Martínez Moreno, Remedios</v>
      </c>
      <c r="B555" s="1" t="s">
        <v>12</v>
      </c>
      <c r="C555" s="9" t="s">
        <v>1286</v>
      </c>
      <c r="D555" s="9" t="s">
        <v>1286</v>
      </c>
      <c r="E555" s="1" t="s">
        <v>12</v>
      </c>
      <c r="F555" s="57">
        <v>1903.0</v>
      </c>
      <c r="G555" s="8" t="s">
        <v>12</v>
      </c>
      <c r="H555" s="9">
        <v>1950.0</v>
      </c>
      <c r="I555" s="1" t="s">
        <v>12</v>
      </c>
      <c r="J555" s="9" t="s">
        <v>669</v>
      </c>
      <c r="K555" s="1" t="s">
        <v>12</v>
      </c>
      <c r="L555" s="3" t="s">
        <v>12</v>
      </c>
    </row>
    <row r="556">
      <c r="A556" s="4" t="str">
        <f>hyperlink("http://historiamujeres.es/mujerm.html#MARTNEZSAI","Martínez Saiz, Teófila")</f>
        <v>Martínez Saiz, Teófila</v>
      </c>
      <c r="B556" s="1" t="s">
        <v>12</v>
      </c>
      <c r="C556" s="1" t="s">
        <v>1287</v>
      </c>
      <c r="D556" s="1" t="s">
        <v>12</v>
      </c>
      <c r="E556" s="1" t="s">
        <v>205</v>
      </c>
      <c r="F556" s="2">
        <v>1948.0</v>
      </c>
      <c r="G556" s="1" t="s">
        <v>12</v>
      </c>
      <c r="H556" s="1" t="s">
        <v>12</v>
      </c>
      <c r="I556" s="1" t="s">
        <v>12</v>
      </c>
      <c r="J556" s="1" t="s">
        <v>1288</v>
      </c>
      <c r="K556" s="1" t="s">
        <v>12</v>
      </c>
      <c r="L556" s="3" t="s">
        <v>12</v>
      </c>
      <c r="M556" s="1" t="s">
        <v>1289</v>
      </c>
    </row>
    <row r="557">
      <c r="A557" s="4" t="str">
        <f>hyperlink("http://www.historiamujeres.es/mujera.html#Abrucena","Martinez Salmerón,Teresa")</f>
        <v>Martinez Salmerón,Teresa</v>
      </c>
      <c r="B557" s="1" t="s">
        <v>12</v>
      </c>
      <c r="C557" s="1" t="s">
        <v>13</v>
      </c>
      <c r="D557" s="1" t="s">
        <v>12</v>
      </c>
      <c r="E557" s="1" t="s">
        <v>12</v>
      </c>
      <c r="F557" s="2">
        <v>1911.0</v>
      </c>
      <c r="G557" s="1" t="s">
        <v>12</v>
      </c>
      <c r="H557" s="1" t="s">
        <v>12</v>
      </c>
      <c r="I557" s="1" t="s">
        <v>12</v>
      </c>
      <c r="J557" s="1" t="s">
        <v>1290</v>
      </c>
      <c r="K557" s="1" t="s">
        <v>1291</v>
      </c>
      <c r="L557" s="3" t="s">
        <v>554</v>
      </c>
      <c r="M557" s="1" t="s">
        <v>196</v>
      </c>
    </row>
    <row r="558">
      <c r="A558" s="4" t="str">
        <f>hyperlink("http://www.historiamujeres.es/mujera.html#Abrucena","Martínez, Encarna")</f>
        <v>Martínez, Encarna</v>
      </c>
      <c r="B558" s="1" t="s">
        <v>12</v>
      </c>
      <c r="C558" s="1" t="s">
        <v>13</v>
      </c>
      <c r="D558" s="1" t="s">
        <v>12</v>
      </c>
      <c r="E558" s="1" t="s">
        <v>12</v>
      </c>
      <c r="F558" s="2">
        <v>1954.0</v>
      </c>
      <c r="G558" s="1" t="s">
        <v>12</v>
      </c>
      <c r="H558" s="1" t="s">
        <v>12</v>
      </c>
      <c r="I558" s="1" t="s">
        <v>12</v>
      </c>
      <c r="J558" s="1" t="s">
        <v>877</v>
      </c>
      <c r="K558" s="1" t="s">
        <v>1292</v>
      </c>
      <c r="L558" s="3" t="s">
        <v>12</v>
      </c>
      <c r="M558" s="1" t="s">
        <v>196</v>
      </c>
    </row>
    <row r="559">
      <c r="A559" s="4" t="str">
        <f>hyperlink("http://historiamujeres.es/mujerm.html#Masoneia","Masonería, Mujeres andaluzas en la ")</f>
        <v>Masonería, Mujeres andaluzas en la </v>
      </c>
      <c r="B559" s="1" t="s">
        <v>12</v>
      </c>
      <c r="C559" s="1" t="s">
        <v>1293</v>
      </c>
      <c r="D559" s="1" t="s">
        <v>12</v>
      </c>
      <c r="E559" s="1" t="s">
        <v>14</v>
      </c>
      <c r="F559" s="5">
        <v>1885.0</v>
      </c>
      <c r="G559" s="6" t="s">
        <v>17</v>
      </c>
      <c r="H559" s="1" t="s">
        <v>12</v>
      </c>
      <c r="I559" s="1" t="s">
        <v>12</v>
      </c>
      <c r="J559" s="1" t="s">
        <v>373</v>
      </c>
      <c r="K559" s="1" t="s">
        <v>12</v>
      </c>
      <c r="L559" s="3" t="s">
        <v>12</v>
      </c>
      <c r="M559" s="1" t="s">
        <v>12</v>
      </c>
    </row>
    <row r="560">
      <c r="A560" s="4" t="str">
        <f>hyperlink("http://historiamujeres.es/mujerm.html#Maturana","Maturana y Vázquez, Vicenta")</f>
        <v>Maturana y Vázquez, Vicenta</v>
      </c>
      <c r="B560" s="1" t="s">
        <v>1294</v>
      </c>
      <c r="C560" s="1" t="s">
        <v>205</v>
      </c>
      <c r="D560" s="1" t="s">
        <v>1295</v>
      </c>
      <c r="F560" s="2">
        <v>1793.0</v>
      </c>
      <c r="G560" s="1" t="s">
        <v>12</v>
      </c>
      <c r="H560" s="1">
        <v>1859.0</v>
      </c>
      <c r="I560" s="1" t="s">
        <v>12</v>
      </c>
      <c r="J560" s="1" t="s">
        <v>1296</v>
      </c>
      <c r="K560" s="1" t="s">
        <v>12</v>
      </c>
      <c r="L560" s="3" t="s">
        <v>12</v>
      </c>
      <c r="M560" s="1" t="s">
        <v>12</v>
      </c>
    </row>
    <row r="561">
      <c r="A561" s="4" t="str">
        <f>hyperlink("http://historiamujeres.es/mujerm.html#Medel_Elena","Medel, Elena")</f>
        <v>Medel, Elena</v>
      </c>
      <c r="B561" s="1" t="s">
        <v>12</v>
      </c>
      <c r="C561" s="1" t="s">
        <v>24</v>
      </c>
      <c r="D561" s="1" t="s">
        <v>12</v>
      </c>
      <c r="E561" s="1" t="s">
        <v>12</v>
      </c>
      <c r="F561" s="2">
        <v>1985.0</v>
      </c>
      <c r="G561" s="1" t="s">
        <v>12</v>
      </c>
      <c r="H561" s="1" t="s">
        <v>12</v>
      </c>
      <c r="I561" s="1" t="s">
        <v>12</v>
      </c>
      <c r="J561" s="1" t="s">
        <v>1297</v>
      </c>
      <c r="K561" s="1" t="s">
        <v>12</v>
      </c>
      <c r="L561" s="3" t="s">
        <v>12</v>
      </c>
      <c r="M561" s="1" t="s">
        <v>12</v>
      </c>
    </row>
    <row r="562">
      <c r="A562" s="4" t="str">
        <f>hyperlink("http://historiamujeres.es/mujerm.html#Medinare","Medina Redondo, Felisa")</f>
        <v>Medina Redondo, Felisa</v>
      </c>
      <c r="B562" s="1" t="s">
        <v>12</v>
      </c>
      <c r="C562" s="1" t="s">
        <v>12</v>
      </c>
      <c r="D562" s="1" t="s">
        <v>12</v>
      </c>
      <c r="E562" s="1" t="s">
        <v>27</v>
      </c>
      <c r="F562" s="5">
        <v>1955.0</v>
      </c>
      <c r="G562" s="6" t="s">
        <v>17</v>
      </c>
      <c r="H562" s="1" t="s">
        <v>12</v>
      </c>
      <c r="I562" s="1" t="s">
        <v>12</v>
      </c>
      <c r="J562" s="1" t="s">
        <v>1238</v>
      </c>
      <c r="K562" s="1" t="s">
        <v>12</v>
      </c>
      <c r="L562" s="3" t="s">
        <v>12</v>
      </c>
      <c r="M562" s="1" t="s">
        <v>276</v>
      </c>
    </row>
    <row r="563">
      <c r="A563" s="24" t="s">
        <v>1298</v>
      </c>
      <c r="B563" s="9" t="s">
        <v>12</v>
      </c>
      <c r="C563" s="9" t="s">
        <v>27</v>
      </c>
      <c r="D563" s="9" t="s">
        <v>201</v>
      </c>
      <c r="E563" s="30" t="s">
        <v>129</v>
      </c>
      <c r="F563" s="13">
        <v>1960.0</v>
      </c>
      <c r="G563" s="13" t="s">
        <v>17</v>
      </c>
      <c r="H563" s="9" t="s">
        <v>12</v>
      </c>
      <c r="I563" s="9" t="s">
        <v>12</v>
      </c>
      <c r="J563" s="9" t="s">
        <v>1299</v>
      </c>
      <c r="K563" s="9" t="s">
        <v>12</v>
      </c>
      <c r="L563" s="9" t="s">
        <v>12</v>
      </c>
      <c r="M563" s="9" t="s">
        <v>1300</v>
      </c>
    </row>
    <row r="564">
      <c r="A564" s="4" t="str">
        <f>hyperlink("http://historiamujeres.es/mujerm.html#MencosB","Mencos, Blanca")</f>
        <v>Mencos, Blanca</v>
      </c>
      <c r="B564" s="1" t="s">
        <v>12</v>
      </c>
      <c r="C564" s="1" t="s">
        <v>27</v>
      </c>
      <c r="D564" s="1" t="s">
        <v>12</v>
      </c>
      <c r="E564" s="1" t="s">
        <v>12</v>
      </c>
      <c r="F564" s="5">
        <v>1930.0</v>
      </c>
      <c r="G564" s="6" t="s">
        <v>17</v>
      </c>
      <c r="H564" s="1" t="s">
        <v>12</v>
      </c>
      <c r="I564" s="1" t="s">
        <v>12</v>
      </c>
      <c r="J564" s="1" t="s">
        <v>65</v>
      </c>
      <c r="K564" s="1" t="s">
        <v>12</v>
      </c>
      <c r="L564" s="3" t="s">
        <v>12</v>
      </c>
      <c r="M564" s="1" t="s">
        <v>12</v>
      </c>
    </row>
    <row r="565">
      <c r="A565" s="4" t="str">
        <f>hyperlink("http://historiamujeres.es/mujerm.html#MencosP","Mencos, Pilar")</f>
        <v>Mencos, Pilar</v>
      </c>
      <c r="B565" s="1" t="s">
        <v>12</v>
      </c>
      <c r="C565" s="1" t="s">
        <v>27</v>
      </c>
      <c r="D565" s="1" t="s">
        <v>12</v>
      </c>
      <c r="E565" s="1" t="s">
        <v>12</v>
      </c>
      <c r="F565" s="16">
        <v>1916.0</v>
      </c>
      <c r="G565" s="17" t="s">
        <v>12</v>
      </c>
      <c r="H565" s="1" t="s">
        <v>12</v>
      </c>
      <c r="I565" s="1" t="s">
        <v>12</v>
      </c>
      <c r="J565" s="1" t="s">
        <v>1301</v>
      </c>
      <c r="K565" s="1" t="s">
        <v>12</v>
      </c>
      <c r="L565" s="3" t="s">
        <v>12</v>
      </c>
      <c r="M565" s="1" t="s">
        <v>12</v>
      </c>
    </row>
    <row r="566">
      <c r="A566" s="4" t="str">
        <f>hyperlink("http://historiamujeres.es/mujerp.html#Paquera","Méndez Garrido, Francisca")</f>
        <v>Méndez Garrido, Francisca</v>
      </c>
      <c r="B566" s="1" t="s">
        <v>1302</v>
      </c>
      <c r="C566" s="1" t="s">
        <v>1303</v>
      </c>
      <c r="D566" s="1" t="s">
        <v>12</v>
      </c>
      <c r="E566" s="1" t="s">
        <v>12</v>
      </c>
      <c r="F566" s="2">
        <v>1934.0</v>
      </c>
      <c r="G566" s="1" t="s">
        <v>12</v>
      </c>
      <c r="H566" s="1" t="s">
        <v>12</v>
      </c>
      <c r="I566" s="1" t="s">
        <v>12</v>
      </c>
      <c r="J566" s="1" t="s">
        <v>69</v>
      </c>
      <c r="K566" s="1" t="s">
        <v>12</v>
      </c>
      <c r="L566" s="3" t="s">
        <v>12</v>
      </c>
      <c r="M566" s="1" t="s">
        <v>12</v>
      </c>
    </row>
    <row r="567">
      <c r="A567" s="4" t="str">
        <f>hyperlink("http://historiamujeres.es/mujerm.html#Mendez_y","Méndez y Delgado , Celia")</f>
        <v>Méndez y Delgado , Celia</v>
      </c>
      <c r="B567" s="1" t="s">
        <v>12</v>
      </c>
      <c r="C567" s="1" t="s">
        <v>27</v>
      </c>
      <c r="D567" s="1" t="s">
        <v>27</v>
      </c>
      <c r="E567" s="1" t="s">
        <v>12</v>
      </c>
      <c r="F567" s="2">
        <v>1885.0</v>
      </c>
      <c r="G567" s="1" t="s">
        <v>12</v>
      </c>
      <c r="H567" s="1">
        <v>1908.0</v>
      </c>
      <c r="I567" s="1" t="s">
        <v>12</v>
      </c>
      <c r="J567" s="1" t="s">
        <v>1304</v>
      </c>
      <c r="K567" s="1" t="s">
        <v>12</v>
      </c>
      <c r="L567" s="3" t="s">
        <v>12</v>
      </c>
      <c r="M567" s="1" t="s">
        <v>1305</v>
      </c>
    </row>
    <row r="568">
      <c r="A568" s="4" t="str">
        <f>hyperlink("http://historiamujeres.es/mujerm.html#Mendez","Méndez, Justa")</f>
        <v>Méndez, Justa</v>
      </c>
      <c r="B568" s="1" t="s">
        <v>12</v>
      </c>
      <c r="C568" s="1" t="s">
        <v>27</v>
      </c>
      <c r="D568" s="1" t="s">
        <v>12</v>
      </c>
      <c r="E568" s="1" t="s">
        <v>1306</v>
      </c>
      <c r="F568" s="2">
        <v>1576.0</v>
      </c>
      <c r="G568" s="1" t="s">
        <v>12</v>
      </c>
      <c r="H568" s="1">
        <v>1644.0</v>
      </c>
      <c r="I568" s="1" t="s">
        <v>12</v>
      </c>
      <c r="J568" s="1" t="s">
        <v>1307</v>
      </c>
      <c r="K568" s="1" t="s">
        <v>1308</v>
      </c>
      <c r="L568" s="3" t="s">
        <v>12</v>
      </c>
      <c r="M568" s="1" t="s">
        <v>12</v>
      </c>
    </row>
    <row r="569">
      <c r="A569" s="11" t="str">
        <f>hyperlink("http://historiamujeres.es/mujerm.html#Mendoza_Lopez","Mendoza López,Elena")</f>
        <v>Mendoza López,Elena</v>
      </c>
      <c r="B569" s="8" t="s">
        <v>12</v>
      </c>
      <c r="C569" s="8" t="s">
        <v>27</v>
      </c>
      <c r="D569" s="8" t="s">
        <v>12</v>
      </c>
      <c r="E569" s="8" t="s">
        <v>12</v>
      </c>
      <c r="F569" s="8">
        <v>1973.0</v>
      </c>
      <c r="G569" s="8" t="s">
        <v>12</v>
      </c>
      <c r="H569" s="8" t="s">
        <v>12</v>
      </c>
      <c r="I569" s="8" t="s">
        <v>12</v>
      </c>
      <c r="J569" s="8" t="s">
        <v>454</v>
      </c>
      <c r="K569" s="8" t="s">
        <v>12</v>
      </c>
      <c r="L569" s="8" t="s">
        <v>12</v>
      </c>
      <c r="M569" s="8" t="s">
        <v>12</v>
      </c>
    </row>
    <row r="570">
      <c r="A570" s="4" t="str">
        <f>hyperlink("http://historiamujeres.es/mujerm.html#Mendozao","Mendoza Oltras, Carmen")</f>
        <v>Mendoza Oltras, Carmen</v>
      </c>
      <c r="B570" s="1" t="s">
        <v>12</v>
      </c>
      <c r="C570" s="1" t="s">
        <v>12</v>
      </c>
      <c r="D570" s="1" t="s">
        <v>12</v>
      </c>
      <c r="E570" s="1" t="s">
        <v>30</v>
      </c>
      <c r="F570" s="5">
        <v>1950.0</v>
      </c>
      <c r="G570" s="6" t="s">
        <v>17</v>
      </c>
      <c r="H570" s="1" t="s">
        <v>12</v>
      </c>
      <c r="I570" s="1">
        <v>2000.0</v>
      </c>
      <c r="J570" s="1" t="s">
        <v>1309</v>
      </c>
      <c r="K570" s="1" t="s">
        <v>12</v>
      </c>
      <c r="L570" s="3" t="s">
        <v>12</v>
      </c>
      <c r="M570" s="1" t="s">
        <v>12</v>
      </c>
    </row>
    <row r="571">
      <c r="A571" s="4" t="str">
        <f>hyperlink("http://historiamujeres.es/mujerm.html#Mendoza","Mendoza, Catalina de")</f>
        <v>Mendoza, Catalina de</v>
      </c>
      <c r="B571" s="1" t="s">
        <v>12</v>
      </c>
      <c r="C571" s="1" t="s">
        <v>30</v>
      </c>
      <c r="D571" s="1" t="s">
        <v>30</v>
      </c>
      <c r="E571" s="1" t="s">
        <v>12</v>
      </c>
      <c r="F571" s="2">
        <v>1542.0</v>
      </c>
      <c r="G571" s="1" t="s">
        <v>12</v>
      </c>
      <c r="H571" s="1">
        <v>1602.0</v>
      </c>
      <c r="I571" s="1" t="s">
        <v>12</v>
      </c>
      <c r="J571" s="1" t="s">
        <v>65</v>
      </c>
      <c r="K571" s="1" t="s">
        <v>1310</v>
      </c>
      <c r="L571" s="3" t="s">
        <v>1311</v>
      </c>
      <c r="M571" s="1" t="s">
        <v>12</v>
      </c>
    </row>
    <row r="572">
      <c r="A572" s="4" t="str">
        <f>hyperlink("http://historiamujeres.es/mujerm.html#MendozaE","Mendoza, Elvira de")</f>
        <v>Mendoza, Elvira de</v>
      </c>
      <c r="B572" s="1" t="s">
        <v>12</v>
      </c>
      <c r="C572" s="1" t="s">
        <v>1312</v>
      </c>
      <c r="D572" s="1" t="s">
        <v>12</v>
      </c>
      <c r="E572" s="1" t="s">
        <v>1313</v>
      </c>
      <c r="F572" s="5">
        <v>1550.0</v>
      </c>
      <c r="G572" s="6" t="s">
        <v>43</v>
      </c>
      <c r="H572" s="6">
        <v>1620.0</v>
      </c>
      <c r="I572" s="1">
        <v>1591.0</v>
      </c>
      <c r="J572" s="1" t="s">
        <v>187</v>
      </c>
      <c r="K572" s="1" t="s">
        <v>12</v>
      </c>
      <c r="L572" s="3" t="s">
        <v>12</v>
      </c>
      <c r="M572" s="1" t="s">
        <v>1314</v>
      </c>
    </row>
    <row r="573">
      <c r="A573" s="4" t="str">
        <f>hyperlink("http://historiamujeres.es/mujera.html#Argentina","Mercé y Luque, Antonia")</f>
        <v>Mercé y Luque, Antonia</v>
      </c>
      <c r="B573" s="1" t="s">
        <v>1315</v>
      </c>
      <c r="C573" s="1" t="s">
        <v>1164</v>
      </c>
      <c r="D573" s="1" t="s">
        <v>1316</v>
      </c>
      <c r="E573" s="1" t="s">
        <v>144</v>
      </c>
      <c r="F573" s="2">
        <v>1890.0</v>
      </c>
      <c r="G573" s="1" t="s">
        <v>12</v>
      </c>
      <c r="H573" s="1">
        <v>1936.0</v>
      </c>
      <c r="I573" s="1" t="s">
        <v>12</v>
      </c>
      <c r="J573" s="1" t="s">
        <v>207</v>
      </c>
      <c r="K573" s="1" t="s">
        <v>12</v>
      </c>
      <c r="L573" s="3" t="s">
        <v>12</v>
      </c>
      <c r="M573" s="1" t="s">
        <v>12</v>
      </c>
    </row>
    <row r="574">
      <c r="A574" s="4" t="str">
        <f>hyperlink("http://historiamujeres.es/mujerm.html#MICHELE","Michelena Morales, Carmen de")</f>
        <v>Michelena Morales, Carmen de</v>
      </c>
      <c r="B574" s="1" t="s">
        <v>12</v>
      </c>
      <c r="C574" s="1" t="s">
        <v>68</v>
      </c>
      <c r="D574" s="1" t="s">
        <v>68</v>
      </c>
      <c r="E574" s="1" t="s">
        <v>1317</v>
      </c>
      <c r="F574" s="2">
        <v>1914.0</v>
      </c>
      <c r="G574" s="1" t="s">
        <v>12</v>
      </c>
      <c r="H574" s="1">
        <v>2012.0</v>
      </c>
      <c r="I574" s="1" t="s">
        <v>12</v>
      </c>
      <c r="J574" s="1" t="s">
        <v>1318</v>
      </c>
      <c r="K574" s="1" t="s">
        <v>78</v>
      </c>
      <c r="L574" s="3" t="s">
        <v>12</v>
      </c>
      <c r="M574" s="1" t="s">
        <v>36</v>
      </c>
    </row>
    <row r="575">
      <c r="A575" s="4" t="str">
        <f>hyperlink("http://historiamujeres.es/mujerm.html#Mille","Millé Giménez, Isabel")</f>
        <v>Millé Giménez, Isabel</v>
      </c>
      <c r="B575" s="1" t="s">
        <v>12</v>
      </c>
      <c r="C575" s="1" t="s">
        <v>26</v>
      </c>
      <c r="D575" s="1" t="s">
        <v>26</v>
      </c>
      <c r="E575" s="1" t="s">
        <v>12</v>
      </c>
      <c r="F575" s="2">
        <v>1894.0</v>
      </c>
      <c r="G575" s="1" t="s">
        <v>12</v>
      </c>
      <c r="H575" s="1">
        <v>1990.0</v>
      </c>
      <c r="I575" s="1" t="s">
        <v>12</v>
      </c>
      <c r="J575" s="1" t="s">
        <v>113</v>
      </c>
      <c r="K575" s="1" t="s">
        <v>152</v>
      </c>
      <c r="L575" s="3" t="s">
        <v>12</v>
      </c>
      <c r="M575" s="9" t="s">
        <v>1319</v>
      </c>
    </row>
    <row r="576">
      <c r="A576" s="4" t="str">
        <f>hyperlink("http://historiamujeres.es/mujerm.html#Miralles_S","Miralles, Soledad")</f>
        <v>Miralles, Soledad</v>
      </c>
      <c r="B576" s="1" t="s">
        <v>12</v>
      </c>
      <c r="C576" s="1" t="s">
        <v>1320</v>
      </c>
      <c r="D576" s="1" t="s">
        <v>12</v>
      </c>
      <c r="E576" s="1" t="s">
        <v>144</v>
      </c>
      <c r="F576" s="5">
        <v>1905.0</v>
      </c>
      <c r="G576" s="6" t="s">
        <v>17</v>
      </c>
      <c r="H576" s="1" t="s">
        <v>12</v>
      </c>
      <c r="I576" s="1">
        <v>1926.0</v>
      </c>
      <c r="J576" s="1" t="s">
        <v>583</v>
      </c>
      <c r="K576" s="1" t="s">
        <v>1321</v>
      </c>
      <c r="L576" s="3" t="s">
        <v>12</v>
      </c>
      <c r="M576" s="1" t="s">
        <v>12</v>
      </c>
    </row>
    <row r="577">
      <c r="A577" s="4" t="str">
        <f>hyperlink("http://historiamujeres.es/mujerm.html#Misionerasd","Misioneras Del Divino Maestro")</f>
        <v>Misioneras Del Divino Maestro</v>
      </c>
      <c r="B577" s="1" t="s">
        <v>12</v>
      </c>
      <c r="C577" s="1" t="s">
        <v>222</v>
      </c>
      <c r="D577" s="1" t="s">
        <v>12</v>
      </c>
      <c r="E577" s="1" t="s">
        <v>12</v>
      </c>
      <c r="F577" s="2">
        <v>1945.0</v>
      </c>
      <c r="G577" s="1" t="s">
        <v>12</v>
      </c>
      <c r="H577" s="1" t="s">
        <v>12</v>
      </c>
      <c r="I577" s="1" t="s">
        <v>12</v>
      </c>
      <c r="J577" s="1" t="s">
        <v>228</v>
      </c>
      <c r="K577" s="1" t="s">
        <v>997</v>
      </c>
      <c r="L577" s="3" t="s">
        <v>12</v>
      </c>
      <c r="M577" s="1" t="s">
        <v>12</v>
      </c>
    </row>
    <row r="578">
      <c r="A578" s="4" t="str">
        <f>hyperlink("http://historiamujeres.es/mujerm.html#Misionsa","Misioneras del Santísimo Sacramento y de María Inmaculada")</f>
        <v>Misioneras del Santísimo Sacramento y de María Inmaculada</v>
      </c>
      <c r="B578" s="1" t="s">
        <v>12</v>
      </c>
      <c r="C578" s="1" t="s">
        <v>30</v>
      </c>
      <c r="D578" s="1" t="s">
        <v>12</v>
      </c>
      <c r="E578" s="1" t="s">
        <v>12</v>
      </c>
      <c r="F578" s="2">
        <v>1896.0</v>
      </c>
      <c r="G578" s="1" t="s">
        <v>12</v>
      </c>
      <c r="H578" s="1" t="s">
        <v>12</v>
      </c>
      <c r="I578" s="1" t="s">
        <v>12</v>
      </c>
      <c r="J578" s="1" t="s">
        <v>228</v>
      </c>
      <c r="K578" s="1" t="s">
        <v>997</v>
      </c>
      <c r="L578" s="3" t="s">
        <v>12</v>
      </c>
      <c r="M578" s="1" t="s">
        <v>12</v>
      </c>
    </row>
    <row r="579">
      <c r="A579" s="4" t="str">
        <f>hyperlink("http://historiamujeres.es/mujerm.html#Misionerash","Misioneras Hijas del Corazón de Jesús")</f>
        <v>Misioneras Hijas del Corazón de Jesús</v>
      </c>
      <c r="B579" s="1" t="s">
        <v>12</v>
      </c>
      <c r="C579" s="1" t="s">
        <v>30</v>
      </c>
      <c r="D579" s="1" t="s">
        <v>12</v>
      </c>
      <c r="E579" s="1" t="s">
        <v>12</v>
      </c>
      <c r="F579" s="2">
        <v>1942.0</v>
      </c>
      <c r="G579" s="1" t="s">
        <v>12</v>
      </c>
      <c r="H579" s="1" t="s">
        <v>12</v>
      </c>
      <c r="I579" s="1" t="s">
        <v>12</v>
      </c>
      <c r="J579" s="1" t="s">
        <v>228</v>
      </c>
      <c r="K579" s="1" t="s">
        <v>12</v>
      </c>
      <c r="L579" s="3" t="s">
        <v>12</v>
      </c>
      <c r="M579" s="1" t="s">
        <v>12</v>
      </c>
    </row>
    <row r="580">
      <c r="A580" s="4" t="str">
        <f>hyperlink("http://historiamujeres.es/mujerm.html#Modotti_","Modotti, Tina")</f>
        <v>Modotti, Tina</v>
      </c>
      <c r="B580" s="1" t="s">
        <v>1322</v>
      </c>
      <c r="C580" s="1" t="s">
        <v>1323</v>
      </c>
      <c r="D580" s="1" t="s">
        <v>1306</v>
      </c>
      <c r="E580" s="1" t="s">
        <v>1324</v>
      </c>
      <c r="F580" s="2">
        <v>1896.0</v>
      </c>
      <c r="G580" s="1" t="s">
        <v>12</v>
      </c>
      <c r="H580" s="1">
        <v>1942.0</v>
      </c>
      <c r="J580" s="1" t="s">
        <v>811</v>
      </c>
      <c r="K580" s="1" t="s">
        <v>1092</v>
      </c>
      <c r="L580" s="3" t="s">
        <v>12</v>
      </c>
      <c r="M580" s="1" t="s">
        <v>1094</v>
      </c>
    </row>
    <row r="581">
      <c r="A581" s="4" t="str">
        <f>hyperlink("http://historiamujeres.es/mujerm.html#Mogollo","Mogollo Díez, María Carmen")</f>
        <v>Mogollo Díez, María Carmen</v>
      </c>
      <c r="C581" s="1" t="s">
        <v>27</v>
      </c>
      <c r="D581" s="1" t="s">
        <v>12</v>
      </c>
      <c r="E581" s="1" t="s">
        <v>1039</v>
      </c>
      <c r="F581" s="2">
        <v>1950.0</v>
      </c>
      <c r="G581" s="1" t="s">
        <v>12</v>
      </c>
      <c r="H581" s="1" t="s">
        <v>12</v>
      </c>
      <c r="I581" s="1" t="s">
        <v>12</v>
      </c>
      <c r="J581" s="1" t="s">
        <v>65</v>
      </c>
      <c r="K581" s="1" t="s">
        <v>12</v>
      </c>
      <c r="L581" s="3" t="s">
        <v>12</v>
      </c>
      <c r="M581" s="1" t="s">
        <v>12</v>
      </c>
    </row>
    <row r="582">
      <c r="A582" s="4" t="str">
        <f>hyperlink("http://historiamujeres.es/mujerm.html#Mogollo_Maria_angeles","Mogollo Díez, María de los Angeles")</f>
        <v>Mogollo Díez, María de los Angeles</v>
      </c>
      <c r="B582" s="1" t="s">
        <v>12</v>
      </c>
      <c r="C582" s="1" t="s">
        <v>1325</v>
      </c>
      <c r="D582" s="1" t="s">
        <v>12</v>
      </c>
      <c r="E582" s="1" t="s">
        <v>1039</v>
      </c>
      <c r="F582" s="5">
        <v>1960.0</v>
      </c>
      <c r="G582" s="6" t="s">
        <v>17</v>
      </c>
      <c r="H582" s="1" t="s">
        <v>12</v>
      </c>
      <c r="I582" s="1">
        <v>1989.0</v>
      </c>
      <c r="J582" s="1" t="s">
        <v>65</v>
      </c>
      <c r="K582" s="1" t="s">
        <v>12</v>
      </c>
      <c r="L582" s="3" t="s">
        <v>12</v>
      </c>
      <c r="M582" s="1" t="s">
        <v>12</v>
      </c>
    </row>
    <row r="583">
      <c r="A583" s="7" t="str">
        <f>hyperlink("http://historiamujeres.es/mujerm.html#Mohedano","Mohedano Sánchez de La Mora, Lourdes")</f>
        <v>Mohedano Sánchez de La Mora, Lourdes</v>
      </c>
      <c r="B583" s="9" t="s">
        <v>12</v>
      </c>
      <c r="C583" s="35" t="s">
        <v>1326</v>
      </c>
      <c r="D583" s="9" t="s">
        <v>12</v>
      </c>
      <c r="E583" s="9" t="s">
        <v>12</v>
      </c>
      <c r="F583" s="15">
        <v>1995.0</v>
      </c>
      <c r="G583" s="9" t="s">
        <v>12</v>
      </c>
      <c r="H583" s="9" t="s">
        <v>12</v>
      </c>
      <c r="I583" s="9" t="s">
        <v>12</v>
      </c>
      <c r="J583" s="9" t="s">
        <v>1327</v>
      </c>
      <c r="K583" s="9" t="s">
        <v>12</v>
      </c>
      <c r="L583" s="14" t="s">
        <v>12</v>
      </c>
      <c r="M583" s="9" t="s">
        <v>1328</v>
      </c>
    </row>
    <row r="584">
      <c r="A584" s="4" t="str">
        <f>hyperlink("http://historiamujeres.es/mujerm.html#Molina_Hernandez","Molina Hernández, Encarnación")</f>
        <v>Molina Hernández, Encarnación</v>
      </c>
      <c r="B584" s="1" t="s">
        <v>12</v>
      </c>
      <c r="C584" s="1" t="s">
        <v>12</v>
      </c>
      <c r="D584" s="1" t="s">
        <v>12</v>
      </c>
      <c r="E584" s="1" t="s">
        <v>26</v>
      </c>
      <c r="F584" s="2">
        <v>1962.0</v>
      </c>
      <c r="G584" s="1" t="s">
        <v>12</v>
      </c>
      <c r="J584" s="1" t="s">
        <v>1329</v>
      </c>
      <c r="K584" s="1" t="s">
        <v>12</v>
      </c>
      <c r="L584" s="3" t="s">
        <v>12</v>
      </c>
      <c r="M584" s="1" t="s">
        <v>1330</v>
      </c>
    </row>
    <row r="585">
      <c r="A585" s="4" t="str">
        <f>hyperlink("http://www.historiamujeres.es/mujera.html#Abrucena","Molina Hernández, Josefa")</f>
        <v>Molina Hernández, Josefa</v>
      </c>
      <c r="B585" s="1" t="s">
        <v>12</v>
      </c>
      <c r="C585" s="1" t="s">
        <v>13</v>
      </c>
      <c r="D585" s="1" t="s">
        <v>12</v>
      </c>
      <c r="E585" s="1" t="s">
        <v>12</v>
      </c>
      <c r="F585" s="2">
        <v>1952.0</v>
      </c>
      <c r="G585" s="1" t="s">
        <v>12</v>
      </c>
      <c r="H585" s="1" t="s">
        <v>12</v>
      </c>
      <c r="I585" s="1" t="s">
        <v>12</v>
      </c>
      <c r="J585" s="1" t="s">
        <v>1331</v>
      </c>
      <c r="K585" s="1" t="s">
        <v>1332</v>
      </c>
      <c r="L585" s="3" t="s">
        <v>12</v>
      </c>
      <c r="M585" s="1" t="s">
        <v>196</v>
      </c>
    </row>
    <row r="586">
      <c r="A586" s="4" t="str">
        <f>hyperlink("http://historiamujeres.es/mujerm.html#Molina","Molina Reig, Josefina")</f>
        <v>Molina Reig, Josefina</v>
      </c>
      <c r="B586" s="1" t="s">
        <v>12</v>
      </c>
      <c r="C586" s="1" t="s">
        <v>24</v>
      </c>
      <c r="D586" s="1" t="s">
        <v>12</v>
      </c>
      <c r="E586" s="1" t="s">
        <v>12</v>
      </c>
      <c r="F586" s="2">
        <v>1936.0</v>
      </c>
      <c r="G586" s="1" t="s">
        <v>12</v>
      </c>
      <c r="H586" s="1" t="s">
        <v>12</v>
      </c>
      <c r="I586" s="1" t="s">
        <v>12</v>
      </c>
      <c r="J586" s="1" t="s">
        <v>1333</v>
      </c>
      <c r="K586" s="1" t="s">
        <v>12</v>
      </c>
      <c r="L586" s="3" t="s">
        <v>12</v>
      </c>
      <c r="M586" s="1" t="s">
        <v>1334</v>
      </c>
    </row>
    <row r="587">
      <c r="A587" s="4" t="str">
        <f>hyperlink("http://historiamujeres.es/mujerm.html#MolinaA","Molina Tejedor, Ángela")</f>
        <v>Molina Tejedor, Ángela</v>
      </c>
      <c r="B587" s="1" t="s">
        <v>12</v>
      </c>
      <c r="C587" s="1" t="s">
        <v>68</v>
      </c>
      <c r="D587" s="1" t="s">
        <v>12</v>
      </c>
      <c r="E587" s="1" t="s">
        <v>144</v>
      </c>
      <c r="F587" s="2">
        <v>1955.0</v>
      </c>
      <c r="G587" s="1" t="s">
        <v>12</v>
      </c>
      <c r="H587" s="1" t="s">
        <v>12</v>
      </c>
      <c r="I587" s="1" t="s">
        <v>12</v>
      </c>
      <c r="J587" s="1" t="s">
        <v>214</v>
      </c>
      <c r="K587" s="1" t="s">
        <v>12</v>
      </c>
      <c r="L587" s="3" t="s">
        <v>12</v>
      </c>
      <c r="M587" s="1" t="s">
        <v>12</v>
      </c>
    </row>
    <row r="588">
      <c r="A588" s="24" t="s">
        <v>1335</v>
      </c>
      <c r="B588" s="9" t="s">
        <v>12</v>
      </c>
      <c r="C588" s="9" t="s">
        <v>68</v>
      </c>
      <c r="D588" s="9" t="s">
        <v>12</v>
      </c>
      <c r="E588" s="9" t="s">
        <v>1147</v>
      </c>
      <c r="F588" s="9">
        <v>1949.0</v>
      </c>
      <c r="G588" s="9" t="s">
        <v>12</v>
      </c>
      <c r="H588" s="9" t="s">
        <v>12</v>
      </c>
      <c r="I588" s="9" t="s">
        <v>12</v>
      </c>
      <c r="J588" s="9" t="s">
        <v>1336</v>
      </c>
      <c r="K588" s="9" t="s">
        <v>1337</v>
      </c>
      <c r="L588" s="9" t="s">
        <v>12</v>
      </c>
      <c r="M588" s="9" t="s">
        <v>401</v>
      </c>
    </row>
    <row r="589">
      <c r="A589" s="4" t="str">
        <f>hyperlink("http://historiamujeres.es/mujerm.html#Moncada","Moncada y Fajardo, Teresa")</f>
        <v>Moncada y Fajardo, Teresa</v>
      </c>
      <c r="B589" s="1" t="s">
        <v>1338</v>
      </c>
      <c r="C589" s="1" t="s">
        <v>68</v>
      </c>
      <c r="D589" s="1" t="s">
        <v>12</v>
      </c>
      <c r="E589" s="1" t="s">
        <v>117</v>
      </c>
      <c r="F589" s="16">
        <v>1665.0</v>
      </c>
      <c r="G589" s="17" t="s">
        <v>12</v>
      </c>
      <c r="H589" s="1">
        <v>1728.0</v>
      </c>
      <c r="I589" s="1" t="s">
        <v>12</v>
      </c>
      <c r="J589" s="1" t="s">
        <v>631</v>
      </c>
      <c r="K589" s="1" t="s">
        <v>12</v>
      </c>
      <c r="L589" s="3" t="s">
        <v>12</v>
      </c>
      <c r="M589" s="1" t="s">
        <v>12</v>
      </c>
    </row>
    <row r="590">
      <c r="A590" s="4" t="str">
        <f>hyperlink("http://historiamujeres.es/mujerm.html#Mejorana","Monje, Rosario")</f>
        <v>Monje, Rosario</v>
      </c>
      <c r="B590" s="1" t="s">
        <v>1339</v>
      </c>
      <c r="C590" s="1" t="s">
        <v>205</v>
      </c>
      <c r="D590" s="1" t="s">
        <v>68</v>
      </c>
      <c r="E590" s="1" t="s">
        <v>12</v>
      </c>
      <c r="F590" s="2">
        <v>1862.0</v>
      </c>
      <c r="G590" s="1" t="s">
        <v>12</v>
      </c>
      <c r="H590" s="1">
        <v>1922.0</v>
      </c>
      <c r="I590" s="1" t="s">
        <v>12</v>
      </c>
      <c r="J590" s="1" t="s">
        <v>150</v>
      </c>
      <c r="K590" s="1" t="s">
        <v>12</v>
      </c>
      <c r="L590" s="3" t="s">
        <v>12</v>
      </c>
      <c r="M590" s="1" t="s">
        <v>1340</v>
      </c>
    </row>
    <row r="591">
      <c r="A591" s="4" t="str">
        <f>hyperlink("http://historiamujeres.es/mujerm.html#Montalban","Montalbán Huertas, Inmaculada")</f>
        <v>Montalbán Huertas, Inmaculada</v>
      </c>
      <c r="B591" s="1" t="s">
        <v>12</v>
      </c>
      <c r="C591" s="1" t="s">
        <v>1341</v>
      </c>
      <c r="D591" s="1" t="s">
        <v>12</v>
      </c>
      <c r="E591" s="1" t="s">
        <v>12</v>
      </c>
      <c r="F591" s="2">
        <v>1960.0</v>
      </c>
      <c r="G591" s="1" t="s">
        <v>12</v>
      </c>
      <c r="H591" s="1" t="s">
        <v>12</v>
      </c>
      <c r="I591" s="1" t="s">
        <v>12</v>
      </c>
      <c r="J591" s="1" t="s">
        <v>1342</v>
      </c>
      <c r="K591" s="1" t="s">
        <v>1343</v>
      </c>
      <c r="L591" s="3" t="s">
        <v>12</v>
      </c>
      <c r="M591" s="1" t="s">
        <v>801</v>
      </c>
    </row>
    <row r="592">
      <c r="A592" s="11" t="str">
        <f>hyperlink("http://historiamujeres.es/mujerm.html#Montelirio","Montelirio, Mujeres del enterramiento de")</f>
        <v>Montelirio, Mujeres del enterramiento de</v>
      </c>
      <c r="B592" s="9" t="s">
        <v>12</v>
      </c>
      <c r="C592" s="9" t="s">
        <v>12</v>
      </c>
      <c r="D592" s="9" t="s">
        <v>1344</v>
      </c>
      <c r="E592" s="9" t="s">
        <v>12</v>
      </c>
      <c r="F592" s="15">
        <v>-2900.0</v>
      </c>
      <c r="G592" s="9" t="s">
        <v>12</v>
      </c>
      <c r="H592" s="9">
        <v>-2700.0</v>
      </c>
      <c r="I592" s="9" t="s">
        <v>12</v>
      </c>
      <c r="J592" s="9" t="s">
        <v>1345</v>
      </c>
      <c r="K592" s="9" t="s">
        <v>12</v>
      </c>
      <c r="L592" s="14" t="s">
        <v>12</v>
      </c>
      <c r="M592" s="9" t="s">
        <v>1346</v>
      </c>
    </row>
    <row r="593">
      <c r="A593" s="24" t="s">
        <v>1347</v>
      </c>
      <c r="B593" s="9" t="s">
        <v>12</v>
      </c>
      <c r="C593" s="9" t="s">
        <v>201</v>
      </c>
      <c r="D593" s="9" t="s">
        <v>12</v>
      </c>
      <c r="E593" s="9" t="s">
        <v>205</v>
      </c>
      <c r="F593" s="12">
        <v>1815.0</v>
      </c>
      <c r="G593" s="13" t="s">
        <v>43</v>
      </c>
      <c r="H593" s="13">
        <v>1880.0</v>
      </c>
      <c r="I593" s="9">
        <v>1852.0</v>
      </c>
      <c r="J593" s="9" t="s">
        <v>1348</v>
      </c>
      <c r="K593" s="9" t="s">
        <v>1349</v>
      </c>
      <c r="L593" s="14" t="s">
        <v>12</v>
      </c>
      <c r="M593" s="9" t="s">
        <v>12</v>
      </c>
    </row>
    <row r="594">
      <c r="A594" s="4" t="str">
        <f>hyperlink("http://historiamujeres.es/mujerm.html#Montero","Montero, Inmaculada")</f>
        <v>Montero, Inmaculada</v>
      </c>
      <c r="B594" s="1" t="s">
        <v>12</v>
      </c>
      <c r="C594" s="1" t="s">
        <v>24</v>
      </c>
      <c r="D594" s="1" t="s">
        <v>12</v>
      </c>
      <c r="E594" s="1" t="s">
        <v>12</v>
      </c>
      <c r="F594" s="5">
        <v>1930.0</v>
      </c>
      <c r="G594" s="6" t="s">
        <v>17</v>
      </c>
      <c r="H594" s="1" t="s">
        <v>12</v>
      </c>
      <c r="I594" s="1">
        <v>1978.0</v>
      </c>
      <c r="J594" s="1" t="s">
        <v>65</v>
      </c>
      <c r="K594" s="1" t="s">
        <v>12</v>
      </c>
      <c r="L594" s="3" t="s">
        <v>12</v>
      </c>
      <c r="M594" s="1" t="s">
        <v>12</v>
      </c>
    </row>
    <row r="595">
      <c r="A595" s="4" t="str">
        <f>hyperlink("http://historiamujeres.es/mujerm.html#Montillaa","Montilla Arribillaga, Carmen")</f>
        <v>Montilla Arribillaga, Carmen</v>
      </c>
      <c r="B595" s="1" t="s">
        <v>12</v>
      </c>
      <c r="C595" s="1" t="s">
        <v>30</v>
      </c>
      <c r="D595" s="1" t="s">
        <v>26</v>
      </c>
      <c r="E595" s="1" t="s">
        <v>12</v>
      </c>
      <c r="F595" s="2">
        <v>1869.0</v>
      </c>
      <c r="G595" s="1" t="s">
        <v>12</v>
      </c>
      <c r="H595" s="1">
        <v>1939.0</v>
      </c>
      <c r="I595" s="1" t="s">
        <v>12</v>
      </c>
      <c r="J595" s="1" t="s">
        <v>65</v>
      </c>
      <c r="K595" s="1" t="s">
        <v>12</v>
      </c>
      <c r="L595" s="3" t="s">
        <v>12</v>
      </c>
      <c r="M595" s="1" t="s">
        <v>12</v>
      </c>
    </row>
    <row r="596">
      <c r="A596" s="4" t="str">
        <f>hyperlink("http://historiamujeres.es/mujerl.html#Lole","Montoya Rodríguez, Dolores")</f>
        <v>Montoya Rodríguez, Dolores</v>
      </c>
      <c r="B596" s="1" t="s">
        <v>1350</v>
      </c>
      <c r="C596" s="1" t="s">
        <v>27</v>
      </c>
      <c r="D596" s="1" t="s">
        <v>12</v>
      </c>
      <c r="E596" s="1" t="s">
        <v>12</v>
      </c>
      <c r="F596" s="2">
        <v>1954.0</v>
      </c>
      <c r="G596" s="1" t="s">
        <v>12</v>
      </c>
      <c r="H596" s="1" t="s">
        <v>12</v>
      </c>
      <c r="I596" s="1" t="s">
        <v>12</v>
      </c>
      <c r="J596" s="1" t="s">
        <v>69</v>
      </c>
      <c r="K596" s="1" t="s">
        <v>12</v>
      </c>
      <c r="L596" s="3" t="s">
        <v>12</v>
      </c>
      <c r="M596" s="1" t="s">
        <v>12</v>
      </c>
    </row>
    <row r="597">
      <c r="A597" s="4" t="str">
        <f>hyperlink("http://historiamujeres.es/mujerm.html#Mora","Mora, Ángeles")</f>
        <v>Mora, Ángeles</v>
      </c>
      <c r="B597" s="1" t="s">
        <v>12</v>
      </c>
      <c r="C597" s="1" t="s">
        <v>1351</v>
      </c>
      <c r="D597" s="1" t="s">
        <v>12</v>
      </c>
      <c r="E597" s="1" t="s">
        <v>30</v>
      </c>
      <c r="F597" s="2">
        <v>1952.0</v>
      </c>
      <c r="G597" s="1" t="s">
        <v>12</v>
      </c>
      <c r="H597" s="1" t="s">
        <v>12</v>
      </c>
      <c r="I597" s="1" t="s">
        <v>12</v>
      </c>
      <c r="J597" s="1" t="s">
        <v>216</v>
      </c>
      <c r="K597" s="1" t="s">
        <v>12</v>
      </c>
      <c r="L597" s="3" t="s">
        <v>12</v>
      </c>
      <c r="M597" s="1" t="s">
        <v>12</v>
      </c>
    </row>
    <row r="598">
      <c r="A598" s="4" t="str">
        <f>hyperlink("http://historiamujeres.es/mujerm.html#Morales","Morales, María")</f>
        <v>Morales, María</v>
      </c>
      <c r="B598" s="1" t="s">
        <v>12</v>
      </c>
      <c r="C598" s="1" t="s">
        <v>596</v>
      </c>
      <c r="D598" s="1" t="s">
        <v>12</v>
      </c>
      <c r="E598" s="1" t="s">
        <v>12</v>
      </c>
      <c r="F598" s="2">
        <v>1936.0</v>
      </c>
      <c r="G598" s="1" t="s">
        <v>12</v>
      </c>
      <c r="H598" s="1" t="s">
        <v>12</v>
      </c>
      <c r="I598" s="1" t="s">
        <v>12</v>
      </c>
      <c r="J598" s="1" t="s">
        <v>1352</v>
      </c>
      <c r="K598" s="1" t="s">
        <v>35</v>
      </c>
      <c r="L598" s="3" t="s">
        <v>12</v>
      </c>
      <c r="M598" s="1" t="s">
        <v>1353</v>
      </c>
    </row>
    <row r="599">
      <c r="A599" s="4" t="str">
        <f>hyperlink("http://historiamujeres.es/mujerm.html#Morayma","Morayma")</f>
        <v>Morayma</v>
      </c>
      <c r="B599" s="1" t="s">
        <v>12</v>
      </c>
      <c r="C599" s="1" t="s">
        <v>1354</v>
      </c>
      <c r="D599" s="1" t="s">
        <v>1355</v>
      </c>
      <c r="E599" s="1" t="s">
        <v>12</v>
      </c>
      <c r="F599" s="2">
        <v>1467.0</v>
      </c>
      <c r="G599" s="1" t="s">
        <v>12</v>
      </c>
      <c r="H599" s="1">
        <v>1493.0</v>
      </c>
      <c r="I599" s="1" t="s">
        <v>12</v>
      </c>
      <c r="J599" s="1" t="s">
        <v>1356</v>
      </c>
      <c r="K599" s="1" t="s">
        <v>12</v>
      </c>
      <c r="L599" s="3" t="s">
        <v>12</v>
      </c>
      <c r="M599" s="1" t="s">
        <v>72</v>
      </c>
    </row>
    <row r="600">
      <c r="A600" s="4" t="str">
        <f>hyperlink("http://historiamujeres.es/mujerm.html#Moreno_Lopez","Moreno López, Juliana")</f>
        <v>Moreno López, Juliana</v>
      </c>
      <c r="B600" s="1" t="s">
        <v>12</v>
      </c>
      <c r="C600" s="1" t="s">
        <v>12</v>
      </c>
      <c r="D600" s="1" t="s">
        <v>12</v>
      </c>
      <c r="E600" s="1" t="s">
        <v>1357</v>
      </c>
      <c r="F600" s="5">
        <v>1910.0</v>
      </c>
      <c r="G600" s="6" t="s">
        <v>43</v>
      </c>
      <c r="H600" s="6">
        <v>1990.0</v>
      </c>
      <c r="I600" s="1" t="s">
        <v>12</v>
      </c>
      <c r="J600" s="1" t="s">
        <v>1358</v>
      </c>
      <c r="K600" s="1" t="s">
        <v>12</v>
      </c>
      <c r="L600" s="3" t="s">
        <v>12</v>
      </c>
      <c r="M600" s="1" t="s">
        <v>1359</v>
      </c>
    </row>
    <row r="601">
      <c r="A601" s="4" t="str">
        <f>hyperlink("http://historiamujeres.es/mujerm.html#Moreno","Moreno y Nartos, Josefa")</f>
        <v>Moreno y Nartos, Josefa</v>
      </c>
      <c r="B601" s="1" t="s">
        <v>12</v>
      </c>
      <c r="C601" s="1" t="s">
        <v>1360</v>
      </c>
      <c r="D601" s="1" t="s">
        <v>12</v>
      </c>
      <c r="E601" s="1" t="s">
        <v>12</v>
      </c>
      <c r="F601" s="16">
        <v>1820.0</v>
      </c>
      <c r="G601" s="6" t="s">
        <v>92</v>
      </c>
      <c r="H601" s="6">
        <v>1860.0</v>
      </c>
      <c r="I601" s="1" t="s">
        <v>12</v>
      </c>
      <c r="J601" s="1" t="s">
        <v>1361</v>
      </c>
      <c r="K601" s="1" t="s">
        <v>12</v>
      </c>
      <c r="L601" s="3" t="s">
        <v>12</v>
      </c>
      <c r="M601" s="1" t="s">
        <v>12</v>
      </c>
    </row>
    <row r="602">
      <c r="A602" s="4" t="str">
        <f>hyperlink("http://historiamujeres.es/mujerm.html#Moreno_inma","Moreno, Inmaculada")</f>
        <v>Moreno, Inmaculada</v>
      </c>
      <c r="B602" s="1" t="s">
        <v>12</v>
      </c>
      <c r="C602" s="1" t="s">
        <v>1362</v>
      </c>
      <c r="D602" s="1" t="s">
        <v>12</v>
      </c>
      <c r="E602" s="1" t="s">
        <v>12</v>
      </c>
      <c r="F602" s="2">
        <v>1960.0</v>
      </c>
      <c r="G602" s="1" t="s">
        <v>12</v>
      </c>
      <c r="H602" s="1" t="s">
        <v>12</v>
      </c>
      <c r="I602" s="1" t="s">
        <v>12</v>
      </c>
      <c r="J602" s="1" t="s">
        <v>216</v>
      </c>
      <c r="K602" s="1" t="s">
        <v>12</v>
      </c>
      <c r="L602" s="3" t="s">
        <v>12</v>
      </c>
      <c r="M602" s="1" t="s">
        <v>12</v>
      </c>
    </row>
    <row r="603">
      <c r="A603" s="4" t="str">
        <f>hyperlink("http://historiamujeres.es/mujerm.html#Morenom","Moreno, María de los Ángeles")</f>
        <v>Moreno, María de los Ángeles</v>
      </c>
      <c r="B603" s="1" t="s">
        <v>1363</v>
      </c>
      <c r="C603" s="1" t="s">
        <v>27</v>
      </c>
      <c r="D603" s="1" t="s">
        <v>12</v>
      </c>
      <c r="E603" s="1" t="s">
        <v>12</v>
      </c>
      <c r="F603" s="2">
        <v>1935.0</v>
      </c>
      <c r="G603" s="1" t="s">
        <v>12</v>
      </c>
      <c r="H603" s="1" t="s">
        <v>12</v>
      </c>
      <c r="I603" s="1" t="s">
        <v>12</v>
      </c>
      <c r="J603" s="1" t="s">
        <v>1364</v>
      </c>
      <c r="K603" s="1" t="s">
        <v>12</v>
      </c>
      <c r="L603" s="3" t="s">
        <v>12</v>
      </c>
      <c r="M603" s="1" t="s">
        <v>12</v>
      </c>
    </row>
    <row r="604">
      <c r="A604" s="4" t="str">
        <f>hyperlink("http://historiamujeres.es/mujerm.html#Morente","Morente Carbonell, Estrella")</f>
        <v>Morente Carbonell, Estrella</v>
      </c>
      <c r="B604" s="1" t="s">
        <v>12</v>
      </c>
      <c r="C604" s="1" t="s">
        <v>30</v>
      </c>
      <c r="D604" s="1" t="s">
        <v>12</v>
      </c>
      <c r="E604" s="1" t="s">
        <v>12</v>
      </c>
      <c r="F604" s="2">
        <v>1980.0</v>
      </c>
      <c r="G604" s="1" t="s">
        <v>12</v>
      </c>
      <c r="H604" s="1" t="s">
        <v>12</v>
      </c>
      <c r="I604" s="1" t="s">
        <v>12</v>
      </c>
      <c r="J604" s="1" t="s">
        <v>69</v>
      </c>
      <c r="K604" s="1" t="s">
        <v>12</v>
      </c>
      <c r="L604" s="3" t="s">
        <v>12</v>
      </c>
      <c r="M604" s="1" t="s">
        <v>220</v>
      </c>
    </row>
    <row r="605">
      <c r="A605" s="4" t="str">
        <f>hyperlink("http://www.historiamujeres.es/mujera.html#Abrucena","Moya Sicilia, María Gracia")</f>
        <v>Moya Sicilia, María Gracia</v>
      </c>
      <c r="B605" s="1" t="s">
        <v>12</v>
      </c>
      <c r="C605" s="1" t="s">
        <v>13</v>
      </c>
      <c r="D605" s="1" t="s">
        <v>13</v>
      </c>
      <c r="E605" s="1" t="s">
        <v>12</v>
      </c>
      <c r="F605" s="2">
        <v>1911.0</v>
      </c>
      <c r="G605" s="1" t="s">
        <v>12</v>
      </c>
      <c r="H605" s="1">
        <v>1981.0</v>
      </c>
      <c r="I605" s="1" t="s">
        <v>12</v>
      </c>
      <c r="J605" s="1" t="s">
        <v>35</v>
      </c>
      <c r="K605" s="1" t="s">
        <v>1291</v>
      </c>
      <c r="L605" s="3" t="s">
        <v>12</v>
      </c>
      <c r="M605" s="1" t="s">
        <v>196</v>
      </c>
    </row>
    <row r="606">
      <c r="A606" s="4" t="str">
        <f>hyperlink("http://historiamujeres.es/mujerm.html#Muchart","Muchart Collboni, Sabina")</f>
        <v>Muchart Collboni, Sabina</v>
      </c>
      <c r="B606" s="1" t="s">
        <v>12</v>
      </c>
      <c r="C606" s="1" t="s">
        <v>1365</v>
      </c>
      <c r="D606" s="1" t="s">
        <v>98</v>
      </c>
      <c r="E606" s="1" t="s">
        <v>12</v>
      </c>
      <c r="F606" s="2">
        <v>1838.0</v>
      </c>
      <c r="G606" s="1" t="s">
        <v>12</v>
      </c>
      <c r="H606" s="1">
        <v>1929.0</v>
      </c>
      <c r="I606" s="1" t="s">
        <v>12</v>
      </c>
      <c r="J606" s="1" t="s">
        <v>1366</v>
      </c>
      <c r="K606" s="1" t="s">
        <v>12</v>
      </c>
      <c r="L606" s="3" t="s">
        <v>12</v>
      </c>
      <c r="M606" s="1" t="s">
        <v>1367</v>
      </c>
    </row>
    <row r="607">
      <c r="A607" s="4" t="str">
        <f>hyperlink("http://historiamujeres.es/mujerm.html#Mudarra","Mudarra, Carmen")</f>
        <v>Mudarra, Carmen</v>
      </c>
      <c r="B607" s="1" t="s">
        <v>12</v>
      </c>
      <c r="C607" s="1" t="s">
        <v>64</v>
      </c>
      <c r="D607" s="1" t="s">
        <v>12</v>
      </c>
      <c r="E607" s="1" t="s">
        <v>864</v>
      </c>
      <c r="F607" s="5">
        <v>1955.0</v>
      </c>
      <c r="G607" s="6" t="s">
        <v>17</v>
      </c>
      <c r="H607" s="1" t="s">
        <v>12</v>
      </c>
      <c r="I607" s="1" t="s">
        <v>12</v>
      </c>
      <c r="J607" s="1" t="s">
        <v>1273</v>
      </c>
      <c r="K607" s="1" t="s">
        <v>12</v>
      </c>
      <c r="L607" s="3" t="s">
        <v>12</v>
      </c>
      <c r="M607" s="1" t="s">
        <v>12</v>
      </c>
    </row>
    <row r="608">
      <c r="A608" s="4" t="str">
        <f>hyperlink("http://historiamujeres.es/mujerm.html#MUJER","Mujer, Centro Asesor de la ")</f>
        <v>Mujer, Centro Asesor de la </v>
      </c>
      <c r="B608" s="1" t="s">
        <v>12</v>
      </c>
      <c r="C608" s="1" t="s">
        <v>146</v>
      </c>
      <c r="D608" s="1" t="s">
        <v>12</v>
      </c>
      <c r="E608" s="1" t="s">
        <v>12</v>
      </c>
      <c r="F608" s="2">
        <v>1978.0</v>
      </c>
      <c r="G608" s="1" t="s">
        <v>12</v>
      </c>
      <c r="H608" s="1" t="s">
        <v>12</v>
      </c>
      <c r="I608" s="1" t="s">
        <v>12</v>
      </c>
      <c r="J608" s="1" t="s">
        <v>56</v>
      </c>
      <c r="K608" s="1" t="s">
        <v>12</v>
      </c>
      <c r="L608" s="3" t="s">
        <v>12</v>
      </c>
      <c r="M608" s="1" t="s">
        <v>12</v>
      </c>
    </row>
    <row r="609">
      <c r="A609" s="11" t="str">
        <f>hyperlink("http://historiamujeres.es/mujerm.html#Mujeres_Libres","Mujeres Libres, Andalucía en la revista")</f>
        <v>Mujeres Libres, Andalucía en la revista</v>
      </c>
      <c r="B609" s="9" t="s">
        <v>12</v>
      </c>
      <c r="C609" s="9" t="s">
        <v>542</v>
      </c>
      <c r="D609" s="9" t="s">
        <v>542</v>
      </c>
      <c r="E609" s="9" t="s">
        <v>1368</v>
      </c>
      <c r="F609" s="15">
        <v>1936.0</v>
      </c>
      <c r="G609" s="1"/>
      <c r="H609" s="9">
        <v>1838.0</v>
      </c>
      <c r="I609" s="9" t="s">
        <v>12</v>
      </c>
      <c r="J609" s="9" t="s">
        <v>1369</v>
      </c>
      <c r="K609" s="9" t="s">
        <v>1370</v>
      </c>
      <c r="L609" s="14" t="s">
        <v>12</v>
      </c>
      <c r="M609" s="9" t="s">
        <v>1371</v>
      </c>
    </row>
    <row r="610">
      <c r="A610" s="4" t="str">
        <f>hyperlink("http://historiamujeres.es/mujerg.html#Grecas ","Muñoz Barrull, Edelina")</f>
        <v>Muñoz Barrull, Edelina</v>
      </c>
      <c r="B610" s="1" t="s">
        <v>1372</v>
      </c>
      <c r="C610" s="1" t="s">
        <v>68</v>
      </c>
      <c r="D610" s="1" t="s">
        <v>1373</v>
      </c>
      <c r="E610" s="1" t="s">
        <v>12</v>
      </c>
      <c r="F610" s="2">
        <v>1957.0</v>
      </c>
      <c r="G610" s="1" t="s">
        <v>12</v>
      </c>
      <c r="H610" s="1">
        <v>1995.0</v>
      </c>
      <c r="I610" s="1" t="s">
        <v>12</v>
      </c>
      <c r="J610" s="1" t="s">
        <v>1374</v>
      </c>
      <c r="K610" s="1" t="s">
        <v>12</v>
      </c>
      <c r="L610" s="3" t="s">
        <v>12</v>
      </c>
      <c r="M610" s="1" t="s">
        <v>12</v>
      </c>
    </row>
    <row r="611">
      <c r="A611" s="4" t="str">
        <f>hyperlink("http://historiamujeres.es/mujerg.html#Grecas ","Muñoz Barull, Carmela")</f>
        <v>Muñoz Barull, Carmela</v>
      </c>
      <c r="B611" s="1" t="s">
        <v>1375</v>
      </c>
      <c r="C611" s="1" t="s">
        <v>549</v>
      </c>
      <c r="D611" s="1" t="s">
        <v>12</v>
      </c>
      <c r="E611" s="1" t="s">
        <v>12</v>
      </c>
      <c r="F611" s="2">
        <v>1954.0</v>
      </c>
      <c r="G611" s="1" t="s">
        <v>12</v>
      </c>
      <c r="H611" s="1" t="s">
        <v>12</v>
      </c>
      <c r="I611" s="1" t="s">
        <v>12</v>
      </c>
      <c r="J611" s="1" t="s">
        <v>1374</v>
      </c>
      <c r="K611" s="1" t="s">
        <v>12</v>
      </c>
      <c r="L611" s="3" t="s">
        <v>12</v>
      </c>
      <c r="M611" s="1" t="s">
        <v>12</v>
      </c>
    </row>
    <row r="612">
      <c r="A612" s="24" t="s">
        <v>1376</v>
      </c>
      <c r="B612" s="9" t="s">
        <v>12</v>
      </c>
      <c r="C612" s="9" t="s">
        <v>205</v>
      </c>
      <c r="D612" s="9" t="s">
        <v>12</v>
      </c>
      <c r="E612" s="9" t="s">
        <v>12</v>
      </c>
      <c r="F612" s="9">
        <v>1933.0</v>
      </c>
      <c r="G612" s="9" t="s">
        <v>12</v>
      </c>
      <c r="H612" s="9" t="s">
        <v>12</v>
      </c>
      <c r="I612" s="9" t="s">
        <v>12</v>
      </c>
      <c r="J612" s="9" t="s">
        <v>1377</v>
      </c>
      <c r="K612" s="9" t="s">
        <v>1378</v>
      </c>
      <c r="L612" s="9" t="s">
        <v>12</v>
      </c>
      <c r="M612" s="9" t="s">
        <v>12</v>
      </c>
    </row>
    <row r="613">
      <c r="A613" s="4" t="str">
        <f>hyperlink("http://historiamujeres.es/mujerm.html#Munoz_Paez","Muñoz Páez, Adela")</f>
        <v>Muñoz Páez, Adela</v>
      </c>
      <c r="B613" s="1" t="s">
        <v>12</v>
      </c>
      <c r="C613" s="1" t="s">
        <v>809</v>
      </c>
      <c r="D613" s="1" t="s">
        <v>12</v>
      </c>
      <c r="E613" s="1" t="s">
        <v>12</v>
      </c>
      <c r="F613" s="2">
        <v>1959.0</v>
      </c>
      <c r="G613" s="1" t="s">
        <v>12</v>
      </c>
      <c r="H613" s="1" t="s">
        <v>12</v>
      </c>
      <c r="I613" s="1" t="s">
        <v>12</v>
      </c>
      <c r="J613" s="1" t="s">
        <v>1379</v>
      </c>
      <c r="K613" s="1" t="s">
        <v>1380</v>
      </c>
      <c r="L613" s="3" t="s">
        <v>12</v>
      </c>
      <c r="M613" s="1" t="s">
        <v>12</v>
      </c>
    </row>
    <row r="614">
      <c r="A614" s="4" t="str">
        <f>hyperlink("http://historiamujeres.es/mujerm.html#Muoz","Muñoz Sánchez, María Jesús")</f>
        <v>Muñoz Sánchez, María Jesús</v>
      </c>
      <c r="B614" s="1" t="s">
        <v>12</v>
      </c>
      <c r="C614" s="1" t="s">
        <v>1381</v>
      </c>
      <c r="D614" s="1" t="s">
        <v>12</v>
      </c>
      <c r="E614" s="1" t="s">
        <v>12</v>
      </c>
      <c r="F614" s="5">
        <v>1940.0</v>
      </c>
      <c r="G614" s="6" t="s">
        <v>17</v>
      </c>
      <c r="H614" s="1" t="s">
        <v>12</v>
      </c>
      <c r="I614" s="1">
        <v>1980.0</v>
      </c>
      <c r="J614" s="1" t="s">
        <v>65</v>
      </c>
      <c r="K614" s="1" t="s">
        <v>12</v>
      </c>
      <c r="L614" s="3" t="s">
        <v>12</v>
      </c>
      <c r="M614" s="1" t="s">
        <v>12</v>
      </c>
    </row>
    <row r="615">
      <c r="A615" s="4" t="str">
        <f>hyperlink("http://historiamujeres.es/mujerm.html#Mures","Mures, María José")</f>
        <v>Mures, María José</v>
      </c>
      <c r="B615" s="1" t="s">
        <v>12</v>
      </c>
      <c r="C615" s="1" t="s">
        <v>1382</v>
      </c>
      <c r="D615" s="1" t="s">
        <v>12</v>
      </c>
      <c r="E615" s="1" t="s">
        <v>12</v>
      </c>
      <c r="F615" s="2">
        <v>1970.0</v>
      </c>
      <c r="G615" s="1" t="s">
        <v>12</v>
      </c>
      <c r="H615" s="1" t="s">
        <v>12</v>
      </c>
      <c r="I615" s="1" t="s">
        <v>12</v>
      </c>
      <c r="J615" s="1" t="s">
        <v>216</v>
      </c>
      <c r="K615" s="1" t="s">
        <v>1383</v>
      </c>
      <c r="L615" s="3" t="s">
        <v>12</v>
      </c>
      <c r="M615" s="1" t="s">
        <v>12</v>
      </c>
    </row>
    <row r="616">
      <c r="A616" s="7" t="str">
        <f>hyperlink("http://historiamujeres.es/mujerm.html#Murta","Murta Gonzaga, Aurora")</f>
        <v>Murta Gonzaga, Aurora</v>
      </c>
      <c r="B616" s="9" t="s">
        <v>1384</v>
      </c>
      <c r="C616" s="9" t="s">
        <v>1385</v>
      </c>
      <c r="D616" s="9" t="s">
        <v>1386</v>
      </c>
      <c r="E616" s="9" t="s">
        <v>12</v>
      </c>
      <c r="F616" s="15">
        <v>1923.0</v>
      </c>
      <c r="G616" s="9" t="s">
        <v>12</v>
      </c>
      <c r="H616" s="9">
        <v>2000.0</v>
      </c>
      <c r="I616" s="9">
        <v>1985.0</v>
      </c>
      <c r="J616" s="9" t="s">
        <v>1210</v>
      </c>
      <c r="K616" s="9" t="s">
        <v>1387</v>
      </c>
      <c r="L616" s="14" t="s">
        <v>12</v>
      </c>
      <c r="M616" s="8" t="s">
        <v>1388</v>
      </c>
    </row>
    <row r="617">
      <c r="A617" s="4" t="str">
        <f>hyperlink("http://historiamujeres.es/mujerm.html#Muzna","Muzna")</f>
        <v>Muzna</v>
      </c>
      <c r="B617" s="1" t="s">
        <v>1389</v>
      </c>
      <c r="C617" s="1" t="s">
        <v>1390</v>
      </c>
      <c r="D617" s="1" t="s">
        <v>12</v>
      </c>
      <c r="E617" s="1" t="s">
        <v>24</v>
      </c>
      <c r="F617" s="5">
        <v>970.0</v>
      </c>
      <c r="G617" s="6" t="s">
        <v>43</v>
      </c>
      <c r="H617" s="6">
        <v>1030.0</v>
      </c>
      <c r="I617" s="1">
        <v>891.0</v>
      </c>
      <c r="J617" s="1" t="s">
        <v>1391</v>
      </c>
      <c r="K617" s="1" t="s">
        <v>12</v>
      </c>
      <c r="L617" s="3" t="s">
        <v>12</v>
      </c>
      <c r="M617" s="1" t="s">
        <v>72</v>
      </c>
    </row>
    <row r="618">
      <c r="A618" s="4" t="str">
        <f>hyperlink("http://historiamujeres.es/mujerp.html#paz_molin","Narcisa de Paz y Molíns")</f>
        <v>Narcisa de Paz y Molíns</v>
      </c>
      <c r="B618" s="1" t="s">
        <v>12</v>
      </c>
      <c r="C618" s="1" t="s">
        <v>12</v>
      </c>
      <c r="D618" s="1" t="s">
        <v>12</v>
      </c>
      <c r="E618" s="1" t="s">
        <v>30</v>
      </c>
      <c r="F618" s="5">
        <v>1830.0</v>
      </c>
      <c r="G618" s="6" t="s">
        <v>17</v>
      </c>
      <c r="H618" s="1" t="s">
        <v>12</v>
      </c>
      <c r="I618" s="1">
        <v>1870.0</v>
      </c>
      <c r="J618" s="1" t="s">
        <v>1392</v>
      </c>
      <c r="K618" s="1" t="s">
        <v>80</v>
      </c>
      <c r="L618" s="3" t="s">
        <v>12</v>
      </c>
      <c r="M618" s="1" t="s">
        <v>1393</v>
      </c>
    </row>
    <row r="619">
      <c r="A619" s="4" t="str">
        <f>hyperlink("http://historiamujeres.es/mujern.html#Natalia","Natalia, Santa")</f>
        <v>Natalia, Santa</v>
      </c>
      <c r="B619" s="1" t="s">
        <v>12</v>
      </c>
      <c r="C619" s="1" t="s">
        <v>24</v>
      </c>
      <c r="D619" s="1" t="s">
        <v>24</v>
      </c>
      <c r="E619" s="1" t="s">
        <v>12</v>
      </c>
      <c r="F619" s="5">
        <v>825.0</v>
      </c>
      <c r="G619" s="6" t="s">
        <v>17</v>
      </c>
      <c r="H619" s="1">
        <v>852.0</v>
      </c>
      <c r="I619" s="1" t="s">
        <v>12</v>
      </c>
      <c r="J619" s="1" t="s">
        <v>243</v>
      </c>
      <c r="K619" s="1" t="s">
        <v>12</v>
      </c>
      <c r="L619" s="3" t="s">
        <v>12</v>
      </c>
      <c r="M619" s="1" t="s">
        <v>72</v>
      </c>
    </row>
    <row r="620">
      <c r="A620" s="4" t="str">
        <f>hyperlink("http://historiamujeres.es/mujern.html#Navarroare","Navarro Arévalo, Ana María")</f>
        <v>Navarro Arévalo, Ana María</v>
      </c>
      <c r="B620" s="1" t="s">
        <v>12</v>
      </c>
      <c r="C620" s="1" t="s">
        <v>205</v>
      </c>
      <c r="D620" s="1" t="s">
        <v>205</v>
      </c>
      <c r="E620" s="1" t="s">
        <v>12</v>
      </c>
      <c r="F620" s="2">
        <v>1956.0</v>
      </c>
      <c r="G620" s="1" t="s">
        <v>12</v>
      </c>
      <c r="H620" s="1">
        <v>2011.0</v>
      </c>
      <c r="I620" s="1" t="s">
        <v>12</v>
      </c>
      <c r="J620" s="1" t="s">
        <v>1394</v>
      </c>
      <c r="K620" s="1" t="s">
        <v>12</v>
      </c>
      <c r="L620" s="3" t="s">
        <v>12</v>
      </c>
      <c r="M620" s="1" t="s">
        <v>1231</v>
      </c>
    </row>
    <row r="621">
      <c r="A621" s="4" t="str">
        <f>hyperlink("http://historiamujeres.es/mujern.html#NavarroC","Navarro Carrillo, Trinidad")</f>
        <v>Navarro Carrillo, Trinidad</v>
      </c>
      <c r="B621" s="1" t="s">
        <v>1395</v>
      </c>
      <c r="C621" s="1" t="s">
        <v>98</v>
      </c>
      <c r="D621" s="1" t="s">
        <v>255</v>
      </c>
      <c r="E621" s="1" t="s">
        <v>12</v>
      </c>
      <c r="F621" s="2">
        <v>1868.0</v>
      </c>
      <c r="G621" s="1" t="s">
        <v>12</v>
      </c>
      <c r="H621" s="1">
        <v>1930.0</v>
      </c>
      <c r="I621" s="1" t="s">
        <v>12</v>
      </c>
      <c r="J621" s="1" t="s">
        <v>69</v>
      </c>
      <c r="K621" s="1" t="s">
        <v>12</v>
      </c>
      <c r="L621" s="3" t="s">
        <v>12</v>
      </c>
      <c r="M621" s="1" t="s">
        <v>12</v>
      </c>
    </row>
    <row r="622">
      <c r="A622" s="4" t="str">
        <f>hyperlink("http://historiamujeres.es/mujern.html#Navarro_fonse","Navarro Fonseca, Jacinta")</f>
        <v>Navarro Fonseca, Jacinta</v>
      </c>
      <c r="B622" s="1" t="s">
        <v>12</v>
      </c>
      <c r="C622" s="1" t="s">
        <v>1396</v>
      </c>
      <c r="D622" s="1" t="s">
        <v>12</v>
      </c>
      <c r="E622" s="1" t="s">
        <v>205</v>
      </c>
      <c r="F622" s="2">
        <v>1861.0</v>
      </c>
      <c r="G622" s="1" t="s">
        <v>12</v>
      </c>
      <c r="H622" s="1" t="s">
        <v>12</v>
      </c>
      <c r="I622" s="1" t="s">
        <v>12</v>
      </c>
      <c r="J622" s="1" t="s">
        <v>373</v>
      </c>
      <c r="K622" s="1" t="s">
        <v>12</v>
      </c>
      <c r="L622" s="3" t="s">
        <v>12</v>
      </c>
      <c r="M622" s="1" t="s">
        <v>12</v>
      </c>
    </row>
    <row r="623">
      <c r="A623" s="4" t="str">
        <f>hyperlink("http://historiamujeres.es/mujern.html#NAVARRO","Navarro Garzón, Micaela")</f>
        <v>Navarro Garzón, Micaela</v>
      </c>
      <c r="B623" s="1" t="s">
        <v>12</v>
      </c>
      <c r="C623" s="1" t="s">
        <v>1397</v>
      </c>
      <c r="D623" s="1" t="s">
        <v>12</v>
      </c>
      <c r="E623" s="1" t="s">
        <v>12</v>
      </c>
      <c r="F623" s="2">
        <v>1956.0</v>
      </c>
      <c r="G623" s="1" t="s">
        <v>12</v>
      </c>
      <c r="H623" s="1" t="s">
        <v>12</v>
      </c>
      <c r="I623" s="1" t="s">
        <v>12</v>
      </c>
      <c r="J623" s="1" t="s">
        <v>1398</v>
      </c>
      <c r="K623" s="1" t="s">
        <v>1399</v>
      </c>
      <c r="L623" s="3" t="s">
        <v>12</v>
      </c>
      <c r="M623" s="1" t="s">
        <v>12</v>
      </c>
    </row>
    <row r="624">
      <c r="A624" s="4" t="str">
        <f>hyperlink("http://historiamujeres.es/mujern.html#Navarro_Margati","Navarro Margati, María Luisa")</f>
        <v>Navarro Margati, María Luisa</v>
      </c>
      <c r="B624" s="1" t="s">
        <v>12</v>
      </c>
      <c r="C624" s="1" t="s">
        <v>457</v>
      </c>
      <c r="D624" s="1" t="s">
        <v>324</v>
      </c>
      <c r="E624" s="1" t="s">
        <v>205</v>
      </c>
      <c r="F624" s="5">
        <v>1890.0</v>
      </c>
      <c r="G624" s="6" t="s">
        <v>17</v>
      </c>
      <c r="H624" s="1">
        <v>1947.0</v>
      </c>
      <c r="I624" s="1" t="s">
        <v>12</v>
      </c>
      <c r="J624" s="1" t="s">
        <v>1400</v>
      </c>
      <c r="K624" s="1" t="s">
        <v>772</v>
      </c>
      <c r="L624" s="3" t="s">
        <v>1401</v>
      </c>
      <c r="M624" s="1" t="s">
        <v>12</v>
      </c>
    </row>
    <row r="625">
      <c r="A625" s="7" t="str">
        <f>hyperlink("http://historiamujeres.es/vidas/navarro-moreno-aurelia.html","Navarro Moreno, Aurelia")</f>
        <v>Navarro Moreno, Aurelia</v>
      </c>
      <c r="B625" s="8" t="s">
        <v>12</v>
      </c>
      <c r="C625" s="8" t="s">
        <v>30</v>
      </c>
      <c r="D625" s="8" t="s">
        <v>24</v>
      </c>
      <c r="E625" s="8" t="s">
        <v>12</v>
      </c>
      <c r="F625" s="8">
        <v>1882.0</v>
      </c>
      <c r="H625" s="8">
        <v>1968.0</v>
      </c>
      <c r="I625" s="8" t="s">
        <v>12</v>
      </c>
      <c r="J625" s="8" t="s">
        <v>65</v>
      </c>
      <c r="K625" s="8" t="s">
        <v>154</v>
      </c>
      <c r="L625" s="8" t="s">
        <v>12</v>
      </c>
      <c r="M625" s="8" t="s">
        <v>1402</v>
      </c>
    </row>
    <row r="626">
      <c r="A626" s="4" t="str">
        <f>hyperlink("http://historiamujeres.es/mujern.html#Navarro_S","Navarro Sánchez, Carmen  Almería")</f>
        <v>Navarro Sánchez, Carmen  Almería</v>
      </c>
      <c r="B626" s="1" t="s">
        <v>12</v>
      </c>
      <c r="C626" s="1" t="s">
        <v>26</v>
      </c>
      <c r="D626" s="1" t="s">
        <v>1403</v>
      </c>
      <c r="E626" s="1" t="s">
        <v>12</v>
      </c>
      <c r="F626" s="16">
        <v>1887.0</v>
      </c>
      <c r="G626" s="17" t="s">
        <v>12</v>
      </c>
      <c r="H626" s="17">
        <v>1956.0</v>
      </c>
      <c r="I626" s="1" t="s">
        <v>12</v>
      </c>
      <c r="J626" s="1" t="s">
        <v>1404</v>
      </c>
      <c r="K626" s="1" t="s">
        <v>923</v>
      </c>
      <c r="L626" s="3" t="s">
        <v>139</v>
      </c>
    </row>
    <row r="627">
      <c r="A627" s="4" t="str">
        <f>hyperlink("http://historiamujeres.es/mujern.html#NavarroZ","Navarro Zamora, Josefa")</f>
        <v>Navarro Zamora, Josefa</v>
      </c>
      <c r="B627" s="1" t="s">
        <v>12</v>
      </c>
      <c r="C627" s="1" t="s">
        <v>1405</v>
      </c>
      <c r="D627" s="1" t="s">
        <v>1406</v>
      </c>
      <c r="E627" s="1" t="s">
        <v>1407</v>
      </c>
      <c r="F627" s="2">
        <v>1897.0</v>
      </c>
      <c r="G627" s="1" t="s">
        <v>12</v>
      </c>
      <c r="H627" s="1">
        <v>2002.0</v>
      </c>
      <c r="I627" s="1" t="s">
        <v>12</v>
      </c>
      <c r="J627" s="1" t="s">
        <v>59</v>
      </c>
      <c r="K627" s="1" t="s">
        <v>12</v>
      </c>
      <c r="L627" s="3" t="s">
        <v>12</v>
      </c>
      <c r="M627" s="1" t="s">
        <v>1408</v>
      </c>
    </row>
    <row r="628">
      <c r="A628" s="4" t="str">
        <f>hyperlink("http://historiamujeres.es/mujern.html#Nazhunn","Nazhunn bint al-Qalai")</f>
        <v>Nazhunn bint al-Qalai</v>
      </c>
      <c r="B628" s="1" t="s">
        <v>12</v>
      </c>
      <c r="C628" s="1" t="s">
        <v>30</v>
      </c>
      <c r="D628" s="1" t="s">
        <v>12</v>
      </c>
      <c r="E628" s="1" t="s">
        <v>12</v>
      </c>
      <c r="F628" s="5">
        <v>1075.0</v>
      </c>
      <c r="G628" s="6" t="s">
        <v>43</v>
      </c>
      <c r="H628" s="6">
        <v>1115.0</v>
      </c>
      <c r="I628" s="1" t="s">
        <v>12</v>
      </c>
      <c r="J628" s="1" t="s">
        <v>73</v>
      </c>
      <c r="K628" s="1" t="s">
        <v>12</v>
      </c>
      <c r="L628" s="3" t="s">
        <v>12</v>
      </c>
      <c r="M628" s="1" t="s">
        <v>12</v>
      </c>
    </row>
    <row r="629">
      <c r="A629" s="4" t="str">
        <f>hyperlink("http://historiamujeres.es/mujern.html#Neble","Neble Balbuena, Reposo")</f>
        <v>Neble Balbuena, Reposo</v>
      </c>
      <c r="B629" s="1" t="s">
        <v>12</v>
      </c>
      <c r="C629" s="1" t="s">
        <v>545</v>
      </c>
      <c r="D629" s="1" t="s">
        <v>545</v>
      </c>
      <c r="E629" s="1" t="s">
        <v>12</v>
      </c>
      <c r="F629" s="2">
        <v>1929.0</v>
      </c>
      <c r="G629" s="1" t="s">
        <v>12</v>
      </c>
      <c r="H629" s="1">
        <v>1984.0</v>
      </c>
      <c r="I629" s="1" t="s">
        <v>12</v>
      </c>
      <c r="J629" s="1" t="s">
        <v>113</v>
      </c>
      <c r="K629" s="1" t="s">
        <v>1409</v>
      </c>
      <c r="L629" s="3" t="s">
        <v>12</v>
      </c>
      <c r="M629" s="1" t="s">
        <v>12</v>
      </c>
    </row>
    <row r="630">
      <c r="A630" s="4" t="str">
        <f>hyperlink("http://historiamujeres.es/mujern.html#Nieto_Oliver","Nieto Oliver, Laura")</f>
        <v>Nieto Oliver, Laura</v>
      </c>
      <c r="B630" s="1" t="s">
        <v>12</v>
      </c>
      <c r="C630" s="1" t="s">
        <v>1410</v>
      </c>
      <c r="D630" s="1" t="s">
        <v>68</v>
      </c>
      <c r="E630" s="1" t="s">
        <v>12</v>
      </c>
      <c r="F630" s="2">
        <v>1907.0</v>
      </c>
      <c r="G630" s="1" t="s">
        <v>12</v>
      </c>
      <c r="H630" s="2">
        <v>1989.0</v>
      </c>
      <c r="I630" s="1" t="s">
        <v>12</v>
      </c>
      <c r="J630" s="1" t="s">
        <v>1411</v>
      </c>
      <c r="K630" s="1" t="s">
        <v>12</v>
      </c>
      <c r="L630" s="3" t="s">
        <v>12</v>
      </c>
      <c r="M630" s="1" t="s">
        <v>12</v>
      </c>
    </row>
    <row r="631">
      <c r="A631" s="4" t="str">
        <f>hyperlink("http://historiamujeres.es/mujern.html#Nieto_ana","Nieto, Ana C.")</f>
        <v>Nieto, Ana C.</v>
      </c>
      <c r="B631" s="1" t="s">
        <v>1412</v>
      </c>
      <c r="C631" s="1" t="s">
        <v>1413</v>
      </c>
      <c r="D631" s="1" t="s">
        <v>12</v>
      </c>
      <c r="E631" s="1" t="s">
        <v>542</v>
      </c>
      <c r="F631" s="2">
        <v>1950.0</v>
      </c>
      <c r="G631" s="1" t="s">
        <v>12</v>
      </c>
      <c r="H631" s="1" t="s">
        <v>12</v>
      </c>
      <c r="I631" s="1" t="s">
        <v>12</v>
      </c>
      <c r="J631" s="1" t="s">
        <v>73</v>
      </c>
      <c r="K631" s="1" t="s">
        <v>12</v>
      </c>
      <c r="L631" s="3" t="s">
        <v>12</v>
      </c>
      <c r="M631" s="1" t="s">
        <v>12</v>
      </c>
    </row>
    <row r="632">
      <c r="A632" s="11" t="str">
        <f>hyperlink("http://historiamujeres.es/mujern.html#Nodrizas","Nodrizas del Hospital Real de Guadix")</f>
        <v>Nodrizas del Hospital Real de Guadix</v>
      </c>
      <c r="B632" s="9" t="s">
        <v>12</v>
      </c>
      <c r="C632" s="9" t="s">
        <v>12</v>
      </c>
      <c r="D632" s="9" t="s">
        <v>12</v>
      </c>
      <c r="E632" s="9" t="s">
        <v>1414</v>
      </c>
      <c r="F632" s="15">
        <v>1480.0</v>
      </c>
      <c r="G632" s="9" t="s">
        <v>12</v>
      </c>
      <c r="H632" s="9">
        <v>1600.0</v>
      </c>
      <c r="I632" s="9" t="s">
        <v>12</v>
      </c>
      <c r="J632" s="9" t="s">
        <v>1415</v>
      </c>
      <c r="K632" s="9" t="s">
        <v>12</v>
      </c>
      <c r="L632" s="14" t="s">
        <v>12</v>
      </c>
      <c r="M632" s="1"/>
    </row>
    <row r="633">
      <c r="A633" s="4" t="str">
        <f>hyperlink("http://historiamujeres.es/mujera.html#Abrucena","Nona")</f>
        <v>Nona</v>
      </c>
      <c r="B633" s="1" t="s">
        <v>12</v>
      </c>
      <c r="C633" s="1" t="s">
        <v>13</v>
      </c>
      <c r="D633" s="1" t="s">
        <v>13</v>
      </c>
      <c r="E633" s="1" t="s">
        <v>12</v>
      </c>
      <c r="F633" s="2">
        <v>1932.0</v>
      </c>
      <c r="G633" s="1" t="s">
        <v>12</v>
      </c>
      <c r="H633" s="1">
        <v>1990.0</v>
      </c>
      <c r="I633" s="1" t="s">
        <v>12</v>
      </c>
      <c r="J633" s="1" t="s">
        <v>1416</v>
      </c>
      <c r="K633" s="1" t="s">
        <v>1417</v>
      </c>
      <c r="L633" s="3" t="s">
        <v>593</v>
      </c>
      <c r="M633" s="1" t="s">
        <v>196</v>
      </c>
    </row>
    <row r="634">
      <c r="A634" s="4" t="str">
        <f>hyperlink("http://historiamujeres.es/mujern.html#Noumen","Noumen, Grace")</f>
        <v>Noumen, Grace</v>
      </c>
      <c r="B634" s="1" t="s">
        <v>12</v>
      </c>
      <c r="C634" s="1" t="s">
        <v>1418</v>
      </c>
      <c r="D634" s="1" t="s">
        <v>12</v>
      </c>
      <c r="E634" s="1" t="s">
        <v>146</v>
      </c>
      <c r="F634" s="5">
        <v>1980.0</v>
      </c>
      <c r="G634" s="6" t="s">
        <v>17</v>
      </c>
      <c r="H634" s="1" t="s">
        <v>12</v>
      </c>
      <c r="I634" s="1" t="s">
        <v>12</v>
      </c>
      <c r="J634" s="1" t="s">
        <v>1419</v>
      </c>
      <c r="K634" s="1" t="s">
        <v>12</v>
      </c>
      <c r="L634" s="3" t="s">
        <v>12</v>
      </c>
      <c r="M634" s="1" t="s">
        <v>1420</v>
      </c>
    </row>
    <row r="635">
      <c r="A635" s="4" t="str">
        <f>hyperlink("http://historiamujeres.es/mujern.html#Nunilon","Nunilón, Santa")</f>
        <v>Nunilón, Santa</v>
      </c>
      <c r="B635" s="1" t="s">
        <v>12</v>
      </c>
      <c r="C635" s="1" t="s">
        <v>1421</v>
      </c>
      <c r="D635" s="1" t="s">
        <v>12</v>
      </c>
      <c r="E635" s="1" t="s">
        <v>1422</v>
      </c>
      <c r="F635" s="5">
        <v>830.0</v>
      </c>
      <c r="G635" s="6" t="s">
        <v>17</v>
      </c>
      <c r="H635" s="1">
        <v>851.0</v>
      </c>
      <c r="I635" s="1" t="s">
        <v>12</v>
      </c>
      <c r="J635" s="1" t="s">
        <v>1423</v>
      </c>
      <c r="K635" s="1" t="s">
        <v>12</v>
      </c>
      <c r="L635" s="3" t="s">
        <v>12</v>
      </c>
      <c r="M635" s="1" t="s">
        <v>72</v>
      </c>
    </row>
    <row r="636">
      <c r="A636" s="4" t="str">
        <f>hyperlink("http://historiamujeres.es/mujern.html#Nunilon","Nzé, Anastasia")</f>
        <v>Nzé, Anastasia</v>
      </c>
      <c r="B636" s="1" t="s">
        <v>12</v>
      </c>
      <c r="C636" s="1" t="s">
        <v>442</v>
      </c>
      <c r="D636" s="1" t="s">
        <v>27</v>
      </c>
      <c r="E636" s="1" t="s">
        <v>12</v>
      </c>
      <c r="F636" s="2">
        <v>1949.0</v>
      </c>
      <c r="G636" s="1" t="s">
        <v>12</v>
      </c>
      <c r="H636" s="1" t="s">
        <v>12</v>
      </c>
      <c r="I636" s="1" t="s">
        <v>12</v>
      </c>
      <c r="J636" s="1" t="s">
        <v>1424</v>
      </c>
      <c r="K636" s="1" t="s">
        <v>1425</v>
      </c>
      <c r="L636" s="3" t="s">
        <v>12</v>
      </c>
      <c r="M636" s="1" t="s">
        <v>12</v>
      </c>
    </row>
    <row r="637">
      <c r="A637" s="7" t="str">
        <f>hyperlink("http://historiamujeres.es/medalla/oblatas.html","Oblatas, Hermanas")</f>
        <v>Oblatas, Hermanas</v>
      </c>
      <c r="B637" s="8" t="s">
        <v>12</v>
      </c>
      <c r="C637" s="8" t="s">
        <v>26</v>
      </c>
      <c r="D637" s="8" t="s">
        <v>12</v>
      </c>
      <c r="E637" s="8" t="s">
        <v>12</v>
      </c>
      <c r="F637" s="8">
        <v>1971.0</v>
      </c>
      <c r="H637" s="8" t="s">
        <v>12</v>
      </c>
      <c r="I637" s="8" t="s">
        <v>12</v>
      </c>
      <c r="J637" s="8" t="s">
        <v>228</v>
      </c>
      <c r="K637" s="8" t="s">
        <v>1426</v>
      </c>
      <c r="L637" s="8" t="s">
        <v>12</v>
      </c>
      <c r="M637" s="8" t="s">
        <v>1427</v>
      </c>
    </row>
    <row r="638">
      <c r="A638" s="4" t="str">
        <f>hyperlink("http://historiamujeres.es/mujero.html#Obreras","Obreras del Corazón de Jesús")</f>
        <v>Obreras del Corazón de Jesús</v>
      </c>
      <c r="B638" s="1" t="s">
        <v>12</v>
      </c>
      <c r="C638" s="1" t="s">
        <v>24</v>
      </c>
      <c r="D638" s="1" t="s">
        <v>12</v>
      </c>
      <c r="E638" s="1" t="s">
        <v>12</v>
      </c>
      <c r="F638" s="2">
        <v>1952.0</v>
      </c>
      <c r="G638" s="1" t="s">
        <v>12</v>
      </c>
      <c r="H638" s="1" t="s">
        <v>12</v>
      </c>
      <c r="I638" s="1" t="s">
        <v>12</v>
      </c>
      <c r="J638" s="1" t="s">
        <v>1428</v>
      </c>
      <c r="K638" s="1" t="s">
        <v>12</v>
      </c>
      <c r="L638" s="3" t="s">
        <v>12</v>
      </c>
      <c r="M638" s="1" t="s">
        <v>12</v>
      </c>
    </row>
    <row r="639">
      <c r="A639" s="4" t="str">
        <f>hyperlink("http://historiamujeres.es/mujero.html#Odena","Odena García, Paulina")</f>
        <v>Odena García, Paulina</v>
      </c>
      <c r="B639" s="1" t="s">
        <v>1429</v>
      </c>
      <c r="C639" s="1" t="s">
        <v>542</v>
      </c>
      <c r="D639" s="1" t="s">
        <v>30</v>
      </c>
      <c r="E639" s="1" t="s">
        <v>26</v>
      </c>
      <c r="F639" s="2">
        <v>1911.0</v>
      </c>
      <c r="G639" s="1" t="s">
        <v>12</v>
      </c>
      <c r="H639" s="1">
        <v>1936.0</v>
      </c>
      <c r="J639" s="1" t="s">
        <v>1091</v>
      </c>
      <c r="K639" s="1" t="s">
        <v>1244</v>
      </c>
      <c r="L639" s="3" t="s">
        <v>12</v>
      </c>
      <c r="M639" s="9" t="s">
        <v>1430</v>
      </c>
    </row>
    <row r="640">
      <c r="A640" s="4" t="str">
        <f>hyperlink("http://historiamujeres.es/mujero.html#Olmedoche","Olmedo Checa, Mª del Carmen")</f>
        <v>Olmedo Checa, Mª del Carmen</v>
      </c>
      <c r="B640" s="1" t="s">
        <v>12</v>
      </c>
      <c r="C640" s="1" t="s">
        <v>98</v>
      </c>
      <c r="D640" s="1" t="s">
        <v>12</v>
      </c>
      <c r="E640" s="1" t="s">
        <v>12</v>
      </c>
      <c r="F640" s="2">
        <v>1949.0</v>
      </c>
      <c r="G640" s="1" t="s">
        <v>12</v>
      </c>
      <c r="H640" s="1" t="s">
        <v>12</v>
      </c>
      <c r="I640" s="1" t="s">
        <v>12</v>
      </c>
      <c r="J640" s="1" t="s">
        <v>171</v>
      </c>
      <c r="K640" s="1" t="s">
        <v>12</v>
      </c>
      <c r="L640" s="3" t="s">
        <v>12</v>
      </c>
      <c r="M640" s="1" t="s">
        <v>12</v>
      </c>
    </row>
    <row r="641">
      <c r="A641" s="4" t="str">
        <f>hyperlink("http://historiamujeres.es/mujero.html#Omalhina","Omalhina")</f>
        <v>Omalhina</v>
      </c>
      <c r="B641" s="1" t="s">
        <v>12</v>
      </c>
      <c r="C641" s="1" t="s">
        <v>26</v>
      </c>
      <c r="D641" s="1" t="s">
        <v>12</v>
      </c>
      <c r="E641" s="1" t="s">
        <v>12</v>
      </c>
      <c r="F641" s="5">
        <v>1095.0</v>
      </c>
      <c r="G641" s="6" t="s">
        <v>43</v>
      </c>
      <c r="H641" s="6">
        <v>1150.0</v>
      </c>
      <c r="I641" s="1" t="s">
        <v>12</v>
      </c>
      <c r="J641" s="1" t="s">
        <v>73</v>
      </c>
      <c r="K641" s="1" t="s">
        <v>12</v>
      </c>
      <c r="L641" s="3" t="s">
        <v>12</v>
      </c>
      <c r="M641" s="1" t="s">
        <v>72</v>
      </c>
    </row>
    <row r="642">
      <c r="A642" s="4" t="str">
        <f>hyperlink("http://historiamujeres.es/mujero.html#Orad","Orad Aragón, María Rosa")</f>
        <v>Orad Aragón, María Rosa</v>
      </c>
      <c r="B642" s="1" t="s">
        <v>1431</v>
      </c>
      <c r="C642" s="1" t="s">
        <v>1397</v>
      </c>
      <c r="D642" s="1" t="s">
        <v>12</v>
      </c>
      <c r="E642" s="1" t="s">
        <v>12</v>
      </c>
      <c r="F642" s="2">
        <v>1938.0</v>
      </c>
      <c r="G642" s="1" t="s">
        <v>12</v>
      </c>
      <c r="H642" s="1" t="s">
        <v>12</v>
      </c>
      <c r="I642" s="1" t="s">
        <v>12</v>
      </c>
      <c r="J642" s="1" t="s">
        <v>583</v>
      </c>
      <c r="K642" s="1" t="s">
        <v>12</v>
      </c>
      <c r="L642" s="3" t="s">
        <v>12</v>
      </c>
      <c r="M642" s="1" t="s">
        <v>36</v>
      </c>
    </row>
    <row r="643">
      <c r="A643" s="4" t="str">
        <f>hyperlink("http://historiamujeres.es/vidas/Orantes-Ruiz-Ana.html","Orantes Ruiz, Ana")</f>
        <v>Orantes Ruiz, Ana</v>
      </c>
      <c r="B643" s="9" t="s">
        <v>12</v>
      </c>
      <c r="C643" s="9" t="s">
        <v>30</v>
      </c>
      <c r="D643" s="9" t="s">
        <v>1432</v>
      </c>
      <c r="E643" s="9" t="s">
        <v>12</v>
      </c>
      <c r="F643" s="9">
        <v>1931.0</v>
      </c>
      <c r="G643" s="9" t="s">
        <v>12</v>
      </c>
      <c r="H643" s="15">
        <v>1997.0</v>
      </c>
      <c r="I643" s="9" t="s">
        <v>12</v>
      </c>
      <c r="J643" s="9" t="s">
        <v>1433</v>
      </c>
      <c r="K643" s="9" t="s">
        <v>1434</v>
      </c>
      <c r="L643" s="14" t="s">
        <v>1435</v>
      </c>
      <c r="M643" s="9" t="s">
        <v>1436</v>
      </c>
    </row>
    <row r="644">
      <c r="A644" s="4" t="str">
        <f>hyperlink("http://historiamujeres.es/mujero.html#Orfila","Orfila Pons, Margarita")</f>
        <v>Orfila Pons, Margarita</v>
      </c>
      <c r="B644" s="1" t="s">
        <v>12</v>
      </c>
      <c r="C644" s="1" t="s">
        <v>1437</v>
      </c>
      <c r="D644" s="1" t="s">
        <v>30</v>
      </c>
      <c r="E644" s="1" t="s">
        <v>12</v>
      </c>
      <c r="F644" s="5">
        <v>1968.0</v>
      </c>
      <c r="G644" s="6" t="s">
        <v>17</v>
      </c>
      <c r="H644" s="1" t="s">
        <v>12</v>
      </c>
      <c r="I644" s="1">
        <v>2002.0</v>
      </c>
      <c r="J644" s="1" t="s">
        <v>698</v>
      </c>
      <c r="K644" s="1" t="s">
        <v>12</v>
      </c>
      <c r="L644" s="3" t="s">
        <v>12</v>
      </c>
      <c r="M644" s="1" t="s">
        <v>1438</v>
      </c>
    </row>
    <row r="645">
      <c r="A645" s="4" t="str">
        <f>hyperlink("http://historiamujeres.es/mujero.html#Orleans","Orleans, Luisa Francisca")</f>
        <v>Orleans, Luisa Francisca</v>
      </c>
      <c r="B645" s="1" t="s">
        <v>12</v>
      </c>
      <c r="C645" s="1" t="s">
        <v>1439</v>
      </c>
      <c r="D645" s="1" t="s">
        <v>1440</v>
      </c>
      <c r="E645" s="1" t="s">
        <v>12</v>
      </c>
      <c r="F645" s="2">
        <v>1882.0</v>
      </c>
      <c r="G645" s="1" t="s">
        <v>12</v>
      </c>
      <c r="H645" s="1">
        <v>1958.0</v>
      </c>
      <c r="I645" s="1" t="s">
        <v>12</v>
      </c>
      <c r="J645" s="1" t="s">
        <v>1441</v>
      </c>
      <c r="K645" s="1" t="s">
        <v>12</v>
      </c>
      <c r="L645" s="3" t="s">
        <v>12</v>
      </c>
      <c r="M645" s="1" t="s">
        <v>12</v>
      </c>
    </row>
    <row r="646">
      <c r="A646" s="4" t="str">
        <f>hyperlink("http://historiamujeres.es/mujero.html#Ortegaca","Ortega Casado, Concepción")</f>
        <v>Ortega Casado, Concepción</v>
      </c>
      <c r="B646" s="1" t="s">
        <v>12</v>
      </c>
      <c r="C646" s="1" t="s">
        <v>12</v>
      </c>
      <c r="D646" s="1" t="s">
        <v>12</v>
      </c>
      <c r="E646" s="1" t="s">
        <v>283</v>
      </c>
      <c r="F646" s="5">
        <v>1950.0</v>
      </c>
      <c r="G646" s="6" t="s">
        <v>17</v>
      </c>
      <c r="H646" s="1" t="s">
        <v>12</v>
      </c>
      <c r="I646" s="1">
        <v>1999.0</v>
      </c>
      <c r="J646" s="1" t="s">
        <v>65</v>
      </c>
      <c r="K646" s="1" t="s">
        <v>12</v>
      </c>
      <c r="L646" s="3" t="s">
        <v>12</v>
      </c>
      <c r="M646" s="1" t="s">
        <v>1442</v>
      </c>
    </row>
    <row r="647">
      <c r="A647" s="4" t="str">
        <f>hyperlink("http://historiamujeres.es/mujerg.html#Ginesa","Ortega Cortés, Ginesa")</f>
        <v>Ortega Cortés, Ginesa</v>
      </c>
      <c r="B647" s="1" t="s">
        <v>1443</v>
      </c>
      <c r="C647" s="1" t="s">
        <v>1444</v>
      </c>
      <c r="D647" s="1" t="s">
        <v>12</v>
      </c>
      <c r="E647" s="1" t="s">
        <v>1445</v>
      </c>
      <c r="F647" s="2">
        <v>1967.0</v>
      </c>
      <c r="G647" s="1" t="s">
        <v>12</v>
      </c>
      <c r="H647" s="1" t="s">
        <v>12</v>
      </c>
      <c r="I647" s="1" t="s">
        <v>12</v>
      </c>
      <c r="J647" s="1" t="s">
        <v>69</v>
      </c>
      <c r="K647" s="1" t="s">
        <v>12</v>
      </c>
      <c r="L647" s="3" t="s">
        <v>12</v>
      </c>
      <c r="M647" s="1" t="s">
        <v>12</v>
      </c>
    </row>
    <row r="648">
      <c r="A648" s="4" t="str">
        <f>hyperlink("http://historiamujeres.es/mujero.html#Ortega_G","Ortega Gutiérrez, Carmenn")</f>
        <v>Ortega Gutiérrez, Carmenn</v>
      </c>
      <c r="B648" s="1" t="s">
        <v>12</v>
      </c>
      <c r="C648" s="1" t="s">
        <v>1446</v>
      </c>
      <c r="D648" s="1" t="s">
        <v>12</v>
      </c>
      <c r="E648" s="1" t="s">
        <v>24</v>
      </c>
      <c r="F648" s="5">
        <v>1930.0</v>
      </c>
      <c r="G648" s="6" t="s">
        <v>17</v>
      </c>
      <c r="H648" s="1" t="s">
        <v>12</v>
      </c>
      <c r="I648" s="1">
        <v>1997.0</v>
      </c>
      <c r="J648" s="1" t="s">
        <v>1447</v>
      </c>
      <c r="K648" s="1" t="s">
        <v>12</v>
      </c>
      <c r="L648" s="3" t="s">
        <v>12</v>
      </c>
      <c r="M648" s="1" t="s">
        <v>12</v>
      </c>
    </row>
    <row r="649">
      <c r="A649" s="4" t="str">
        <f>hyperlink("http://historiamujeres.es/mujero.html#Ortizsa","Ortíz Sánchez, Juana María")</f>
        <v>Ortíz Sánchez, Juana María</v>
      </c>
      <c r="B649" s="1" t="s">
        <v>12</v>
      </c>
      <c r="C649" s="1" t="s">
        <v>12</v>
      </c>
      <c r="D649" s="1" t="s">
        <v>12</v>
      </c>
      <c r="E649" s="1" t="s">
        <v>26</v>
      </c>
      <c r="F649" s="5">
        <v>1960.0</v>
      </c>
      <c r="G649" s="6" t="s">
        <v>17</v>
      </c>
      <c r="H649" s="1" t="s">
        <v>12</v>
      </c>
      <c r="I649" s="1">
        <v>2006.0</v>
      </c>
      <c r="J649" s="1" t="s">
        <v>408</v>
      </c>
      <c r="K649" s="1" t="s">
        <v>12</v>
      </c>
      <c r="L649" s="3" t="s">
        <v>12</v>
      </c>
      <c r="M649" s="1" t="s">
        <v>1448</v>
      </c>
    </row>
    <row r="650">
      <c r="A650" s="4" t="str">
        <f>hyperlink("http://historiamujeres.es/mujero.html#Osorio","Ossorio de Lara, Urraca")</f>
        <v>Ossorio de Lara, Urraca</v>
      </c>
      <c r="B650" s="1" t="s">
        <v>12</v>
      </c>
      <c r="C650" s="1" t="s">
        <v>12</v>
      </c>
      <c r="D650" s="1" t="s">
        <v>27</v>
      </c>
      <c r="E650" s="1" t="s">
        <v>12</v>
      </c>
      <c r="F650" s="5">
        <v>1320.0</v>
      </c>
      <c r="G650" s="6" t="s">
        <v>17</v>
      </c>
      <c r="H650" s="1">
        <v>1367.0</v>
      </c>
      <c r="I650" s="1" t="s">
        <v>12</v>
      </c>
      <c r="J650" s="1" t="s">
        <v>82</v>
      </c>
      <c r="K650" s="1" t="s">
        <v>1449</v>
      </c>
      <c r="L650" s="3"/>
      <c r="M650" s="1" t="s">
        <v>1450</v>
      </c>
    </row>
    <row r="651">
      <c r="A651" s="4" t="str">
        <f>hyperlink("http://historiamujeres.es/mujero.html#Ovin","Ovín, Isabel")</f>
        <v>Ovín, Isabel</v>
      </c>
      <c r="B651" s="1" t="s">
        <v>12</v>
      </c>
      <c r="C651" s="1" t="s">
        <v>12</v>
      </c>
      <c r="D651" s="1" t="s">
        <v>12</v>
      </c>
      <c r="E651" s="1" t="s">
        <v>879</v>
      </c>
      <c r="F651" s="2">
        <v>1887.0</v>
      </c>
      <c r="G651" s="1" t="s">
        <v>12</v>
      </c>
      <c r="H651" s="1">
        <v>1972.0</v>
      </c>
      <c r="I651" s="1" t="s">
        <v>12</v>
      </c>
      <c r="J651" s="1" t="s">
        <v>1451</v>
      </c>
      <c r="K651" s="1" t="s">
        <v>1452</v>
      </c>
      <c r="L651" s="3" t="s">
        <v>12</v>
      </c>
      <c r="M651" s="1" t="s">
        <v>1453</v>
      </c>
    </row>
    <row r="652">
      <c r="A652" s="4" t="str">
        <f>hyperlink("http://historiamujeres.es/mujero.html#Oyarz","Oyarzábal Smith, Isabel")</f>
        <v>Oyarzábal Smith, Isabel</v>
      </c>
      <c r="B652" s="1" t="s">
        <v>12</v>
      </c>
      <c r="C652" s="1" t="s">
        <v>98</v>
      </c>
      <c r="D652" s="1" t="s">
        <v>1003</v>
      </c>
      <c r="E652" s="1" t="s">
        <v>12</v>
      </c>
      <c r="F652" s="2">
        <v>1878.0</v>
      </c>
      <c r="G652" s="1" t="s">
        <v>12</v>
      </c>
      <c r="H652" s="1">
        <v>1974.0</v>
      </c>
      <c r="I652" s="1" t="s">
        <v>12</v>
      </c>
      <c r="J652" s="1" t="s">
        <v>1454</v>
      </c>
      <c r="K652" s="1" t="s">
        <v>1455</v>
      </c>
      <c r="L652" s="3" t="s">
        <v>80</v>
      </c>
      <c r="M652" s="9" t="s">
        <v>1456</v>
      </c>
    </row>
    <row r="653">
      <c r="A653" s="4" t="str">
        <f>hyperlink("http://historiamujeres.es/mujerl.html#Linares","Pacheco Rodríguez, Carmen")</f>
        <v>Pacheco Rodríguez, Carmen</v>
      </c>
      <c r="B653" s="1" t="s">
        <v>1457</v>
      </c>
      <c r="C653" s="1" t="s">
        <v>1458</v>
      </c>
      <c r="D653" s="1" t="s">
        <v>12</v>
      </c>
      <c r="E653" s="1" t="s">
        <v>12</v>
      </c>
      <c r="F653" s="2">
        <v>1951.0</v>
      </c>
      <c r="G653" s="1" t="s">
        <v>12</v>
      </c>
      <c r="H653" s="1" t="s">
        <v>12</v>
      </c>
      <c r="I653" s="1" t="s">
        <v>12</v>
      </c>
      <c r="J653" s="1" t="s">
        <v>69</v>
      </c>
      <c r="K653" s="1" t="s">
        <v>12</v>
      </c>
      <c r="L653" s="3" t="s">
        <v>12</v>
      </c>
      <c r="M653" s="1" t="s">
        <v>1459</v>
      </c>
    </row>
    <row r="654">
      <c r="A654" s="4" t="str">
        <f>hyperlink("http://historiamujeres.es/mujerp.html#Pacheco","Pacheco, María")</f>
        <v>Pacheco, María</v>
      </c>
      <c r="B654" s="1" t="s">
        <v>12</v>
      </c>
      <c r="C654" s="1" t="s">
        <v>30</v>
      </c>
      <c r="D654" s="1" t="s">
        <v>1460</v>
      </c>
      <c r="E654" s="1" t="s">
        <v>1461</v>
      </c>
      <c r="F654" s="2">
        <v>1496.0</v>
      </c>
      <c r="G654" s="1" t="s">
        <v>12</v>
      </c>
      <c r="H654" s="1">
        <v>1531.0</v>
      </c>
      <c r="I654" s="1" t="s">
        <v>12</v>
      </c>
      <c r="J654" s="1" t="s">
        <v>1462</v>
      </c>
      <c r="K654" s="1" t="s">
        <v>12</v>
      </c>
      <c r="L654" s="3" t="s">
        <v>12</v>
      </c>
      <c r="M654" s="1" t="s">
        <v>1463</v>
      </c>
    </row>
    <row r="655">
      <c r="A655" s="4" t="str">
        <f>hyperlink("http://historiamujeres.es/mujerp.html#PADILLA","Padilla, María de")</f>
        <v>Padilla, María de</v>
      </c>
      <c r="B655" s="1" t="s">
        <v>12</v>
      </c>
      <c r="C655" s="1" t="s">
        <v>27</v>
      </c>
      <c r="D655" s="1" t="s">
        <v>27</v>
      </c>
      <c r="E655" s="1" t="s">
        <v>12</v>
      </c>
      <c r="F655" s="2">
        <v>1337.0</v>
      </c>
      <c r="G655" s="1" t="s">
        <v>12</v>
      </c>
      <c r="H655" s="1">
        <v>1361.0</v>
      </c>
      <c r="I655" s="1" t="s">
        <v>12</v>
      </c>
      <c r="J655" s="1" t="s">
        <v>1464</v>
      </c>
      <c r="K655" s="1" t="s">
        <v>12</v>
      </c>
      <c r="L655" s="3" t="s">
        <v>12</v>
      </c>
      <c r="M655" s="1" t="s">
        <v>1465</v>
      </c>
    </row>
    <row r="656">
      <c r="A656" s="4" t="str">
        <f>hyperlink("http://historiamujeres.es/mujerp.html#Pages","Pagés Madrigal, María Jesús")</f>
        <v>Pagés Madrigal, María Jesús</v>
      </c>
      <c r="B656" s="1" t="s">
        <v>12</v>
      </c>
      <c r="C656" s="1" t="s">
        <v>361</v>
      </c>
      <c r="D656" s="1" t="s">
        <v>12</v>
      </c>
      <c r="E656" s="1" t="s">
        <v>12</v>
      </c>
      <c r="F656" s="2">
        <v>1963.0</v>
      </c>
      <c r="G656" s="1" t="s">
        <v>12</v>
      </c>
      <c r="H656" s="1" t="s">
        <v>12</v>
      </c>
      <c r="I656" s="1" t="s">
        <v>12</v>
      </c>
      <c r="J656" s="1" t="s">
        <v>145</v>
      </c>
      <c r="K656" s="1" t="s">
        <v>12</v>
      </c>
      <c r="L656" s="3" t="s">
        <v>12</v>
      </c>
      <c r="M656" s="1" t="s">
        <v>1466</v>
      </c>
    </row>
    <row r="657">
      <c r="A657" s="4" t="str">
        <f>hyperlink("http://historiamujeres.es/mujere.html#EUGENIA","Palafox Portocarrero y Kirkpatrick, María Eugenia")</f>
        <v>Palafox Portocarrero y Kirkpatrick, María Eugenia</v>
      </c>
      <c r="B657" s="1" t="s">
        <v>1467</v>
      </c>
      <c r="C657" s="1" t="s">
        <v>30</v>
      </c>
      <c r="D657" s="1" t="s">
        <v>68</v>
      </c>
      <c r="E657" s="1" t="s">
        <v>12</v>
      </c>
      <c r="F657" s="2">
        <v>1826.0</v>
      </c>
      <c r="G657" s="1" t="s">
        <v>12</v>
      </c>
      <c r="H657" s="1">
        <v>1920.0</v>
      </c>
      <c r="I657" s="1" t="s">
        <v>12</v>
      </c>
      <c r="J657" s="1" t="s">
        <v>1468</v>
      </c>
      <c r="K657" s="1" t="s">
        <v>12</v>
      </c>
      <c r="L657" s="3" t="s">
        <v>12</v>
      </c>
      <c r="M657" s="1" t="s">
        <v>1469</v>
      </c>
    </row>
    <row r="658">
      <c r="A658" s="4" t="str">
        <f>hyperlink("http://historiamujeres.es/mujerp.html#Palafox","Palafox y Portocarrero, María Tomasa de")</f>
        <v>Palafox y Portocarrero, María Tomasa de</v>
      </c>
      <c r="B658" s="1" t="s">
        <v>1470</v>
      </c>
      <c r="C658" s="1" t="s">
        <v>12</v>
      </c>
      <c r="D658" s="1" t="s">
        <v>12</v>
      </c>
      <c r="E658" s="1" t="s">
        <v>205</v>
      </c>
      <c r="F658" s="2">
        <v>1780.0</v>
      </c>
      <c r="G658" s="1" t="s">
        <v>12</v>
      </c>
      <c r="H658" s="1">
        <v>1835.0</v>
      </c>
      <c r="I658" s="1" t="s">
        <v>12</v>
      </c>
      <c r="J658" s="1" t="s">
        <v>65</v>
      </c>
      <c r="K658" s="1" t="s">
        <v>1471</v>
      </c>
      <c r="L658" s="3" t="s">
        <v>12</v>
      </c>
      <c r="M658" s="1" t="s">
        <v>1472</v>
      </c>
    </row>
    <row r="659">
      <c r="A659" s="7" t="str">
        <f>hyperlink("http://historiamujeres.es/mujerp.html#Palazon","Palazón Palazón, Pilar")</f>
        <v>Palazón Palazón, Pilar</v>
      </c>
      <c r="B659" s="9" t="s">
        <v>12</v>
      </c>
      <c r="C659" s="9" t="s">
        <v>64</v>
      </c>
      <c r="D659" s="9" t="s">
        <v>12</v>
      </c>
      <c r="E659" s="9" t="s">
        <v>12</v>
      </c>
      <c r="F659" s="15">
        <v>1932.0</v>
      </c>
      <c r="G659" s="9" t="s">
        <v>12</v>
      </c>
      <c r="H659" s="9" t="s">
        <v>12</v>
      </c>
      <c r="I659" s="9" t="s">
        <v>12</v>
      </c>
      <c r="J659" s="9" t="s">
        <v>1473</v>
      </c>
      <c r="K659" s="9" t="s">
        <v>12</v>
      </c>
      <c r="L659" s="14" t="s">
        <v>12</v>
      </c>
      <c r="M659" s="9" t="s">
        <v>1474</v>
      </c>
    </row>
    <row r="660">
      <c r="A660" s="4" t="str">
        <f>hyperlink("http://historiamujeres.es/mujerp.html#Palomino","Palomino Yenes, Eusebia")</f>
        <v>Palomino Yenes, Eusebia</v>
      </c>
      <c r="B660" s="1" t="s">
        <v>12</v>
      </c>
      <c r="C660" s="1" t="s">
        <v>1475</v>
      </c>
      <c r="D660" s="1" t="s">
        <v>994</v>
      </c>
      <c r="E660" s="1" t="s">
        <v>12</v>
      </c>
      <c r="F660" s="2">
        <v>1889.0</v>
      </c>
      <c r="G660" s="1" t="s">
        <v>12</v>
      </c>
      <c r="H660" s="1">
        <v>1935.0</v>
      </c>
      <c r="I660" s="1" t="s">
        <v>12</v>
      </c>
      <c r="J660" s="1" t="s">
        <v>154</v>
      </c>
      <c r="K660" s="1" t="s">
        <v>12</v>
      </c>
      <c r="L660" s="3" t="s">
        <v>12</v>
      </c>
      <c r="M660" s="1" t="s">
        <v>12</v>
      </c>
    </row>
    <row r="661">
      <c r="A661" s="4" t="str">
        <f>hyperlink("http://historiamujeres.es/mujerp.html#Palou","Palou, María")</f>
        <v>Palou, María</v>
      </c>
      <c r="B661" s="1" t="s">
        <v>12</v>
      </c>
      <c r="C661" s="1" t="s">
        <v>27</v>
      </c>
      <c r="D661" s="1" t="s">
        <v>68</v>
      </c>
      <c r="E661" s="1" t="s">
        <v>12</v>
      </c>
      <c r="F661" s="2">
        <v>1891.0</v>
      </c>
      <c r="G661" s="1" t="s">
        <v>12</v>
      </c>
      <c r="H661" s="1">
        <v>1957.0</v>
      </c>
      <c r="I661" s="1" t="s">
        <v>12</v>
      </c>
      <c r="J661" s="1" t="s">
        <v>1476</v>
      </c>
      <c r="K661" s="1" t="s">
        <v>12</v>
      </c>
      <c r="L661" s="3" t="s">
        <v>12</v>
      </c>
      <c r="M661" s="1" t="s">
        <v>12</v>
      </c>
    </row>
    <row r="662">
      <c r="A662" s="4" t="str">
        <f>hyperlink("http://historiamujeres.es/mujerp.html#Pantoja","Pantoja Martín, María Isabel")</f>
        <v>Pantoja Martín, María Isabel</v>
      </c>
      <c r="B662" s="1" t="s">
        <v>1477</v>
      </c>
      <c r="C662" s="1" t="s">
        <v>27</v>
      </c>
      <c r="D662" s="1" t="s">
        <v>12</v>
      </c>
      <c r="E662" s="1" t="s">
        <v>12</v>
      </c>
      <c r="F662" s="2">
        <v>1956.0</v>
      </c>
      <c r="G662" s="1" t="s">
        <v>12</v>
      </c>
      <c r="H662" s="1" t="s">
        <v>12</v>
      </c>
      <c r="I662" s="1" t="s">
        <v>12</v>
      </c>
      <c r="J662" s="1" t="s">
        <v>1478</v>
      </c>
      <c r="K662" s="1" t="s">
        <v>12</v>
      </c>
      <c r="L662" s="3" t="s">
        <v>12</v>
      </c>
      <c r="M662" s="1" t="s">
        <v>1479</v>
      </c>
    </row>
    <row r="663">
      <c r="A663" s="4" t="str">
        <f>hyperlink("http://historiamujeres.es//mujerp.html#Paris","París García, Ana")</f>
        <v>París García, Ana</v>
      </c>
      <c r="B663" s="1"/>
      <c r="C663" s="9" t="s">
        <v>1480</v>
      </c>
      <c r="D663" s="9" t="s">
        <v>27</v>
      </c>
      <c r="E663" s="9" t="s">
        <v>12</v>
      </c>
      <c r="F663" s="15">
        <v>1900.0</v>
      </c>
      <c r="G663" s="9" t="s">
        <v>12</v>
      </c>
      <c r="H663" s="9">
        <v>1938.0</v>
      </c>
      <c r="I663" s="9" t="s">
        <v>12</v>
      </c>
      <c r="J663" s="9" t="s">
        <v>1481</v>
      </c>
      <c r="K663" s="19" t="s">
        <v>103</v>
      </c>
      <c r="L663" s="3"/>
      <c r="M663" s="9" t="s">
        <v>1482</v>
      </c>
    </row>
    <row r="664">
      <c r="A664" s="7" t="str">
        <f>hyperlink("http://historiamujeres.es/mmujerp.html#Parody","Parody Abade, Julia")</f>
        <v>Parody Abade, Julia</v>
      </c>
      <c r="B664" s="1" t="s">
        <v>12</v>
      </c>
      <c r="C664" s="8" t="s">
        <v>98</v>
      </c>
      <c r="D664" s="8" t="s">
        <v>68</v>
      </c>
      <c r="E664" s="1" t="s">
        <v>12</v>
      </c>
      <c r="F664" s="44">
        <v>1887.0</v>
      </c>
      <c r="G664" s="8" t="s">
        <v>12</v>
      </c>
      <c r="H664" s="8">
        <v>1973.0</v>
      </c>
      <c r="I664" s="1" t="s">
        <v>12</v>
      </c>
      <c r="J664" s="8" t="s">
        <v>669</v>
      </c>
      <c r="K664" s="8" t="s">
        <v>997</v>
      </c>
      <c r="L664" s="3" t="s">
        <v>12</v>
      </c>
    </row>
    <row r="665">
      <c r="A665" s="4" t="str">
        <f>hyperlink("http://historiamujeres.es/mujerp.html#Parra_jo","Parra, Josefa")</f>
        <v>Parra, Josefa</v>
      </c>
      <c r="B665" s="1" t="s">
        <v>12</v>
      </c>
      <c r="C665" s="1" t="s">
        <v>262</v>
      </c>
      <c r="D665" s="1" t="s">
        <v>12</v>
      </c>
      <c r="E665" s="1" t="s">
        <v>12</v>
      </c>
      <c r="F665" s="2">
        <v>1965.0</v>
      </c>
      <c r="G665" s="1" t="s">
        <v>12</v>
      </c>
      <c r="H665" s="1" t="s">
        <v>12</v>
      </c>
      <c r="I665" s="1" t="s">
        <v>12</v>
      </c>
      <c r="J665" s="1" t="s">
        <v>73</v>
      </c>
      <c r="K665" s="1" t="s">
        <v>1483</v>
      </c>
      <c r="L665" s="3" t="s">
        <v>12</v>
      </c>
      <c r="M665" s="1" t="s">
        <v>12</v>
      </c>
    </row>
    <row r="666">
      <c r="A666" s="4" t="str">
        <f>hyperlink("http://historiamujeres.es/mujerp.html#Parrala","Parrales Moreno, Dolores")</f>
        <v>Parrales Moreno, Dolores</v>
      </c>
      <c r="B666" s="1" t="s">
        <v>1484</v>
      </c>
      <c r="C666" s="1" t="s">
        <v>1485</v>
      </c>
      <c r="D666" s="1" t="s">
        <v>27</v>
      </c>
      <c r="E666" s="1" t="s">
        <v>12</v>
      </c>
      <c r="F666" s="5">
        <v>1845.0</v>
      </c>
      <c r="G666" s="6" t="s">
        <v>17</v>
      </c>
      <c r="H666" s="1">
        <v>1915.0</v>
      </c>
      <c r="I666" s="1" t="s">
        <v>12</v>
      </c>
      <c r="J666" s="1" t="s">
        <v>69</v>
      </c>
      <c r="K666" s="1" t="s">
        <v>12</v>
      </c>
      <c r="L666" s="3" t="s">
        <v>12</v>
      </c>
      <c r="M666" s="1" t="s">
        <v>12</v>
      </c>
    </row>
    <row r="667">
      <c r="A667" s="4" t="str">
        <f>hyperlink("http://historiamujeres.es/mujerp.html#Parshina","Párshina ,  Elisaveta")</f>
        <v>Párshina ,  Elisaveta</v>
      </c>
      <c r="B667" s="1" t="s">
        <v>1486</v>
      </c>
      <c r="C667" s="1" t="s">
        <v>1487</v>
      </c>
      <c r="D667" s="1" t="s">
        <v>1488</v>
      </c>
      <c r="E667" s="1" t="s">
        <v>1489</v>
      </c>
      <c r="F667" s="2">
        <v>1913.0</v>
      </c>
      <c r="G667" s="1" t="s">
        <v>12</v>
      </c>
      <c r="H667" s="1">
        <v>2002.0</v>
      </c>
      <c r="I667" s="1" t="s">
        <v>12</v>
      </c>
      <c r="J667" s="1" t="s">
        <v>1490</v>
      </c>
      <c r="K667" s="1" t="s">
        <v>1491</v>
      </c>
      <c r="L667" s="3" t="s">
        <v>113</v>
      </c>
      <c r="M667" s="1" t="s">
        <v>1492</v>
      </c>
    </row>
    <row r="668">
      <c r="A668" s="4" t="str">
        <f>hyperlink("http://historiamujeres.es/mujerp.html#Pazpas","Pasamar, Pilar Paz")</f>
        <v>Pasamar, Pilar Paz</v>
      </c>
      <c r="B668" s="1" t="s">
        <v>12</v>
      </c>
      <c r="C668" s="1" t="s">
        <v>262</v>
      </c>
      <c r="D668" s="1" t="s">
        <v>12</v>
      </c>
      <c r="E668" s="1" t="s">
        <v>12</v>
      </c>
      <c r="F668" s="2">
        <v>1933.0</v>
      </c>
      <c r="G668" s="1" t="s">
        <v>12</v>
      </c>
      <c r="H668" s="1" t="s">
        <v>12</v>
      </c>
      <c r="I668" s="1" t="s">
        <v>12</v>
      </c>
      <c r="J668" s="1" t="s">
        <v>73</v>
      </c>
      <c r="K668" s="1" t="s">
        <v>12</v>
      </c>
      <c r="L668" s="3" t="s">
        <v>12</v>
      </c>
      <c r="M668" s="9" t="s">
        <v>1493</v>
      </c>
    </row>
    <row r="669">
      <c r="A669" s="4" t="str">
        <f>hyperlink("http://historiamujeres.es/mujerp.html#Patino","Patiño Páez, Pepita")</f>
        <v>Patiño Páez, Pepita</v>
      </c>
      <c r="B669" s="1" t="s">
        <v>12</v>
      </c>
      <c r="C669" s="1" t="s">
        <v>24</v>
      </c>
      <c r="D669" s="1" t="s">
        <v>12</v>
      </c>
      <c r="E669" s="1" t="s">
        <v>12</v>
      </c>
      <c r="F669" s="15">
        <v>1925.0</v>
      </c>
      <c r="G669" s="1" t="s">
        <v>12</v>
      </c>
      <c r="H669" s="1" t="s">
        <v>12</v>
      </c>
      <c r="I669" s="1" t="s">
        <v>12</v>
      </c>
      <c r="J669" s="1" t="s">
        <v>1494</v>
      </c>
      <c r="K669" s="1" t="s">
        <v>772</v>
      </c>
      <c r="L669" s="3" t="s">
        <v>12</v>
      </c>
      <c r="M669" s="1" t="s">
        <v>1495</v>
      </c>
    </row>
    <row r="670">
      <c r="A670" s="7" t="str">
        <f>hyperlink("http://historiamujeres.es/mujerp.html#Patricio","Patricio Ragel, Purificación")</f>
        <v>Patricio Ragel, Purificación</v>
      </c>
      <c r="B670" s="8" t="s">
        <v>12</v>
      </c>
      <c r="C670" s="8" t="s">
        <v>679</v>
      </c>
      <c r="D670" s="8" t="s">
        <v>12</v>
      </c>
      <c r="E670" s="8" t="s">
        <v>12</v>
      </c>
      <c r="F670" s="8">
        <v>1879.0</v>
      </c>
      <c r="G670" s="8" t="s">
        <v>12</v>
      </c>
      <c r="H670" s="8">
        <v>1958.0</v>
      </c>
      <c r="I670" s="8" t="s">
        <v>12</v>
      </c>
      <c r="J670" s="8" t="s">
        <v>282</v>
      </c>
      <c r="K670" s="8" t="s">
        <v>1496</v>
      </c>
      <c r="L670" s="8" t="s">
        <v>12</v>
      </c>
      <c r="M670" s="8" t="s">
        <v>1497</v>
      </c>
    </row>
    <row r="671">
      <c r="A671" s="4" t="str">
        <f>hyperlink("http://historiamujeres.es/mujern.html#Ninha","Pavón Cruz, Pastora María")</f>
        <v>Pavón Cruz, Pastora María</v>
      </c>
      <c r="B671" s="1" t="s">
        <v>1498</v>
      </c>
      <c r="C671" s="1" t="s">
        <v>27</v>
      </c>
      <c r="D671" s="1" t="s">
        <v>27</v>
      </c>
      <c r="E671" s="1" t="s">
        <v>12</v>
      </c>
      <c r="F671" s="2">
        <v>1890.0</v>
      </c>
      <c r="G671" s="1" t="s">
        <v>12</v>
      </c>
      <c r="H671" s="1">
        <v>1968.0</v>
      </c>
      <c r="I671" s="1" t="s">
        <v>12</v>
      </c>
      <c r="J671" s="1" t="s">
        <v>69</v>
      </c>
      <c r="K671" s="1" t="s">
        <v>12</v>
      </c>
      <c r="L671" s="3" t="s">
        <v>12</v>
      </c>
      <c r="M671" s="9" t="s">
        <v>1499</v>
      </c>
    </row>
    <row r="672">
      <c r="A672" s="4" t="str">
        <f>hyperlink("http://historiamujeres.es/mujerp.html#Pedraza","Pedraza Mollina, África")</f>
        <v>Pedraza Mollina, África</v>
      </c>
      <c r="B672" s="1" t="s">
        <v>12</v>
      </c>
      <c r="C672" s="1" t="s">
        <v>934</v>
      </c>
      <c r="D672" s="1" t="s">
        <v>12</v>
      </c>
      <c r="E672" s="1" t="s">
        <v>1500</v>
      </c>
      <c r="F672" s="2">
        <v>1925.0</v>
      </c>
      <c r="G672" s="1" t="s">
        <v>12</v>
      </c>
      <c r="H672" s="1" t="s">
        <v>12</v>
      </c>
      <c r="I672" s="1" t="s">
        <v>12</v>
      </c>
      <c r="J672" s="1" t="s">
        <v>1501</v>
      </c>
      <c r="K672" s="1" t="s">
        <v>12</v>
      </c>
      <c r="L672" s="3" t="s">
        <v>12</v>
      </c>
      <c r="M672" s="1" t="s">
        <v>12</v>
      </c>
    </row>
    <row r="673">
      <c r="A673" s="4" t="str">
        <f>hyperlink("http://historiamujeres.es/mujerp.html#Pelez","Peláez Navarrete,  María ")</f>
        <v>Peláez Navarrete,  María </v>
      </c>
      <c r="B673" s="1" t="s">
        <v>12</v>
      </c>
      <c r="C673" s="1" t="s">
        <v>98</v>
      </c>
      <c r="D673" s="1" t="s">
        <v>12</v>
      </c>
      <c r="E673" s="1" t="s">
        <v>12</v>
      </c>
      <c r="F673" s="2">
        <v>1977.0</v>
      </c>
      <c r="G673" s="1" t="s">
        <v>12</v>
      </c>
      <c r="H673" s="1" t="s">
        <v>12</v>
      </c>
      <c r="I673" s="1" t="s">
        <v>12</v>
      </c>
      <c r="J673" s="1" t="s">
        <v>1502</v>
      </c>
      <c r="K673" s="1" t="s">
        <v>12</v>
      </c>
      <c r="L673" s="3" t="s">
        <v>12</v>
      </c>
      <c r="M673" s="1" t="s">
        <v>36</v>
      </c>
    </row>
    <row r="674">
      <c r="A674" s="24" t="s">
        <v>1503</v>
      </c>
      <c r="B674" s="9" t="s">
        <v>12</v>
      </c>
      <c r="C674" s="9" t="s">
        <v>1504</v>
      </c>
      <c r="D674" s="9" t="s">
        <v>1505</v>
      </c>
      <c r="E674" s="9" t="s">
        <v>12</v>
      </c>
      <c r="F674" s="9">
        <v>1981.0</v>
      </c>
      <c r="G674" s="9" t="s">
        <v>12</v>
      </c>
      <c r="H674" s="9" t="s">
        <v>12</v>
      </c>
      <c r="I674" s="9" t="s">
        <v>12</v>
      </c>
      <c r="J674" s="9" t="s">
        <v>1506</v>
      </c>
      <c r="K674" s="9" t="s">
        <v>12</v>
      </c>
      <c r="L674" s="9" t="s">
        <v>12</v>
      </c>
      <c r="M674" s="9" t="s">
        <v>401</v>
      </c>
    </row>
    <row r="675">
      <c r="A675" s="4" t="str">
        <f>hyperlink("http://historiamujeres.es/mujerp.html#Pensil","Pensil Gaditano, El")</f>
        <v>Pensil Gaditano, El</v>
      </c>
      <c r="B675" s="9" t="s">
        <v>1507</v>
      </c>
      <c r="C675" s="1" t="s">
        <v>205</v>
      </c>
      <c r="D675" s="1" t="s">
        <v>205</v>
      </c>
      <c r="E675" s="1" t="s">
        <v>12</v>
      </c>
      <c r="F675" s="2">
        <v>1856.0</v>
      </c>
      <c r="G675" s="1" t="s">
        <v>12</v>
      </c>
      <c r="H675" s="9">
        <v>1866.0</v>
      </c>
      <c r="I675" s="1" t="s">
        <v>12</v>
      </c>
      <c r="J675" s="1" t="s">
        <v>1508</v>
      </c>
      <c r="K675" s="1" t="s">
        <v>1509</v>
      </c>
      <c r="L675" s="3" t="s">
        <v>56</v>
      </c>
      <c r="M675" s="9" t="s">
        <v>1510</v>
      </c>
    </row>
    <row r="676">
      <c r="A676" s="4" t="str">
        <f>hyperlink("http://historiamujeres.es/mujerp.html#Pena_ana","Peña, Ana de la")</f>
        <v>Peña, Ana de la</v>
      </c>
      <c r="C676" s="1" t="s">
        <v>12</v>
      </c>
      <c r="D676" s="1" t="s">
        <v>12</v>
      </c>
      <c r="E676" s="1" t="s">
        <v>27</v>
      </c>
      <c r="F676" s="5">
        <v>1540.0</v>
      </c>
      <c r="G676" s="6" t="s">
        <v>43</v>
      </c>
      <c r="H676" s="6">
        <v>1590.0</v>
      </c>
      <c r="I676" s="1">
        <v>1570.0</v>
      </c>
      <c r="J676" s="1" t="s">
        <v>1224</v>
      </c>
      <c r="K676" s="1" t="s">
        <v>12</v>
      </c>
      <c r="L676" s="3" t="s">
        <v>12</v>
      </c>
      <c r="M676" s="1" t="s">
        <v>12</v>
      </c>
    </row>
    <row r="677">
      <c r="A677" s="4" t="str">
        <f>hyperlink("http://historiamujeres.es/mujerp.html#Pepa","Pepa La Malagueña")</f>
        <v>Pepa La Malagueña</v>
      </c>
      <c r="B677" s="1" t="s">
        <v>12</v>
      </c>
      <c r="C677" s="1" t="s">
        <v>98</v>
      </c>
      <c r="D677" s="1" t="s">
        <v>12</v>
      </c>
      <c r="E677" s="1" t="s">
        <v>68</v>
      </c>
      <c r="F677" s="5">
        <v>1780.0</v>
      </c>
      <c r="G677" s="6" t="s">
        <v>43</v>
      </c>
      <c r="H677" s="6">
        <v>1830.0</v>
      </c>
      <c r="I677" s="1">
        <v>1818.0</v>
      </c>
      <c r="J677" s="1" t="s">
        <v>1511</v>
      </c>
      <c r="K677" s="1" t="s">
        <v>12</v>
      </c>
      <c r="L677" s="3" t="s">
        <v>12</v>
      </c>
      <c r="M677" s="1" t="s">
        <v>1512</v>
      </c>
    </row>
    <row r="678">
      <c r="A678" s="4" t="str">
        <f>hyperlink("http://historiamujeres.es/mujerp.html#Pepa_co","Pepa,  La")</f>
        <v>Pepa,  La</v>
      </c>
      <c r="B678" s="1" t="s">
        <v>1513</v>
      </c>
      <c r="C678" s="1" t="s">
        <v>205</v>
      </c>
      <c r="D678" s="1" t="s">
        <v>12</v>
      </c>
      <c r="E678" s="1" t="s">
        <v>12</v>
      </c>
      <c r="F678" s="2">
        <v>1812.0</v>
      </c>
      <c r="G678" s="1" t="s">
        <v>12</v>
      </c>
      <c r="H678" s="1" t="s">
        <v>12</v>
      </c>
      <c r="I678" s="1" t="s">
        <v>12</v>
      </c>
      <c r="J678" s="1" t="s">
        <v>1514</v>
      </c>
      <c r="K678" s="1" t="s">
        <v>12</v>
      </c>
      <c r="L678" s="3" t="s">
        <v>12</v>
      </c>
      <c r="M678" s="1" t="s">
        <v>12</v>
      </c>
    </row>
    <row r="679">
      <c r="A679" s="4" t="str">
        <f>hyperlink("http://historiamujeres.es/mujerp.html#Perceval ","Perceval, Carmen")</f>
        <v>Perceval, Carmen</v>
      </c>
      <c r="B679" s="1" t="s">
        <v>12</v>
      </c>
      <c r="C679" s="9" t="s">
        <v>26</v>
      </c>
      <c r="D679" s="9" t="s">
        <v>26</v>
      </c>
      <c r="E679" s="1" t="s">
        <v>12</v>
      </c>
      <c r="F679" s="2">
        <v>1947.0</v>
      </c>
      <c r="G679" s="1" t="s">
        <v>12</v>
      </c>
      <c r="H679" s="1">
        <v>2008.0</v>
      </c>
      <c r="I679" s="1" t="s">
        <v>12</v>
      </c>
      <c r="J679" s="1" t="s">
        <v>1515</v>
      </c>
      <c r="K679" s="1" t="s">
        <v>113</v>
      </c>
      <c r="L679" s="3" t="s">
        <v>987</v>
      </c>
      <c r="M679" s="1" t="s">
        <v>12</v>
      </c>
    </row>
    <row r="680">
      <c r="A680" s="4" t="str">
        <f>hyperlink("http://historiamujeres.es/mujerp.html#Pereira_Dagedo","Pereira Dagedo, Isabel Hortensia")</f>
        <v>Pereira Dagedo, Isabel Hortensia</v>
      </c>
      <c r="B680" s="1" t="s">
        <v>1516</v>
      </c>
      <c r="C680" s="1" t="s">
        <v>12</v>
      </c>
      <c r="D680" s="1" t="s">
        <v>12</v>
      </c>
      <c r="E680" s="47" t="s">
        <v>1517</v>
      </c>
      <c r="F680" s="5">
        <v>1890.0</v>
      </c>
      <c r="G680" s="6" t="s">
        <v>43</v>
      </c>
      <c r="H680" s="6">
        <v>1960.0</v>
      </c>
      <c r="I680" s="1">
        <v>1913.0</v>
      </c>
      <c r="J680" s="17" t="s">
        <v>1370</v>
      </c>
      <c r="K680" s="1" t="s">
        <v>113</v>
      </c>
      <c r="L680" s="3" t="s">
        <v>1518</v>
      </c>
      <c r="M680" s="1" t="s">
        <v>12</v>
      </c>
    </row>
    <row r="681">
      <c r="A681" s="4" t="str">
        <f>hyperlink("http://historiamujeres.es/mujerp.html#Pereyra","Pereyra Baras, Sara")</f>
        <v>Pereyra Baras, Sara</v>
      </c>
      <c r="B681" s="1" t="s">
        <v>1519</v>
      </c>
      <c r="C681" s="1" t="s">
        <v>191</v>
      </c>
      <c r="D681" s="1" t="s">
        <v>12</v>
      </c>
      <c r="E681" s="1" t="s">
        <v>12</v>
      </c>
      <c r="F681" s="2">
        <v>1971.0</v>
      </c>
      <c r="G681" s="1" t="s">
        <v>12</v>
      </c>
      <c r="H681" s="1" t="s">
        <v>12</v>
      </c>
      <c r="I681" s="1" t="s">
        <v>12</v>
      </c>
      <c r="J681" s="1" t="s">
        <v>145</v>
      </c>
      <c r="K681" s="1" t="s">
        <v>12</v>
      </c>
      <c r="L681" s="3" t="s">
        <v>12</v>
      </c>
      <c r="M681" s="1" t="s">
        <v>36</v>
      </c>
    </row>
    <row r="682">
      <c r="A682" s="4" t="str">
        <f>hyperlink("http://historiamujeres.es/mujerp.html#PerezBendito ","Pérez Bendito, Dolores")</f>
        <v>Pérez Bendito, Dolores</v>
      </c>
      <c r="B682" s="1" t="s">
        <v>12</v>
      </c>
      <c r="C682" s="1" t="s">
        <v>12</v>
      </c>
      <c r="D682" s="1" t="s">
        <v>12</v>
      </c>
      <c r="E682" s="1" t="s">
        <v>24</v>
      </c>
      <c r="F682" s="5">
        <v>1940.0</v>
      </c>
      <c r="G682" s="6" t="s">
        <v>17</v>
      </c>
      <c r="H682" s="1" t="s">
        <v>12</v>
      </c>
      <c r="I682" s="1">
        <v>2000.0</v>
      </c>
      <c r="J682" s="1" t="s">
        <v>1520</v>
      </c>
      <c r="K682" s="1" t="s">
        <v>12</v>
      </c>
      <c r="L682" s="3" t="s">
        <v>12</v>
      </c>
      <c r="M682" s="1" t="s">
        <v>12</v>
      </c>
    </row>
    <row r="683">
      <c r="A683" s="4" t="str">
        <f>hyperlink("http://historiamujeres.es/mujerp.html#Perez ","Pérez de Celis y Torhbanh, Margarita")</f>
        <v>Pérez de Celis y Torhbanh, Margarita</v>
      </c>
      <c r="B683" s="1" t="s">
        <v>12</v>
      </c>
      <c r="C683" s="1" t="s">
        <v>12</v>
      </c>
      <c r="D683" s="1" t="s">
        <v>205</v>
      </c>
      <c r="E683" s="1" t="s">
        <v>12</v>
      </c>
      <c r="F683" s="5">
        <v>1835.0</v>
      </c>
      <c r="G683" s="6" t="s">
        <v>17</v>
      </c>
      <c r="H683" s="1">
        <v>1882.0</v>
      </c>
      <c r="I683" s="1" t="s">
        <v>12</v>
      </c>
      <c r="J683" s="1" t="s">
        <v>1521</v>
      </c>
      <c r="K683" s="1" t="s">
        <v>80</v>
      </c>
      <c r="L683" s="3" t="s">
        <v>1522</v>
      </c>
      <c r="M683" s="1" t="s">
        <v>1523</v>
      </c>
    </row>
    <row r="684">
      <c r="A684" s="4" t="str">
        <f>hyperlink("http://historiamujeres.es/vidas/perez_enciso_maria_dolores.html","Pérez Enciso, María Dolores")</f>
        <v>Pérez Enciso, María Dolores</v>
      </c>
      <c r="B684" s="1" t="s">
        <v>1524</v>
      </c>
      <c r="C684" s="1" t="s">
        <v>26</v>
      </c>
      <c r="D684" s="1" t="s">
        <v>1525</v>
      </c>
      <c r="E684" s="1" t="s">
        <v>12</v>
      </c>
      <c r="F684" s="2">
        <v>1908.0</v>
      </c>
      <c r="G684" s="1" t="s">
        <v>12</v>
      </c>
      <c r="H684" s="1">
        <v>1949.0</v>
      </c>
      <c r="I684" s="1" t="s">
        <v>12</v>
      </c>
      <c r="J684" s="1" t="s">
        <v>1526</v>
      </c>
      <c r="K684" s="1" t="s">
        <v>1527</v>
      </c>
      <c r="L684" s="19" t="s">
        <v>12</v>
      </c>
      <c r="M684" s="1" t="s">
        <v>1528</v>
      </c>
    </row>
    <row r="685">
      <c r="A685" s="11" t="str">
        <f>hyperlink("http://historiamujeres.es/mujerp.html#Perez_Garcia_Ca","Pérez García, Carmen")</f>
        <v>Pérez García, Carmen</v>
      </c>
      <c r="B685" s="1" t="s">
        <v>12</v>
      </c>
      <c r="C685" s="9" t="s">
        <v>205</v>
      </c>
      <c r="D685" s="9" t="s">
        <v>68</v>
      </c>
      <c r="E685" s="1" t="s">
        <v>12</v>
      </c>
      <c r="F685" s="57">
        <v>1897.0</v>
      </c>
      <c r="G685" s="8" t="s">
        <v>12</v>
      </c>
      <c r="H685" s="9">
        <v>1920.0</v>
      </c>
      <c r="I685" s="1" t="s">
        <v>12</v>
      </c>
      <c r="J685" s="9" t="s">
        <v>669</v>
      </c>
      <c r="K685" s="1" t="s">
        <v>12</v>
      </c>
      <c r="L685" s="3" t="s">
        <v>12</v>
      </c>
    </row>
    <row r="686">
      <c r="A686" s="4" t="str">
        <f>hyperlink("http://historiamujeres.es/mujerp.html#Perez_Garcia","Pérez García, María Rosario")</f>
        <v>Pérez García, María Rosario</v>
      </c>
      <c r="B686" s="1" t="s">
        <v>1529</v>
      </c>
      <c r="C686" s="1" t="s">
        <v>879</v>
      </c>
      <c r="D686" s="1" t="s">
        <v>386</v>
      </c>
      <c r="E686" s="1" t="s">
        <v>12</v>
      </c>
      <c r="F686" s="58"/>
      <c r="G686" s="1" t="s">
        <v>12</v>
      </c>
      <c r="H686" s="1">
        <v>2012.0</v>
      </c>
      <c r="J686" s="1" t="s">
        <v>1530</v>
      </c>
      <c r="K686" s="1" t="s">
        <v>12</v>
      </c>
      <c r="L686" s="3" t="s">
        <v>12</v>
      </c>
      <c r="M686" s="1" t="s">
        <v>1531</v>
      </c>
    </row>
    <row r="687">
      <c r="A687" s="4" t="str">
        <f>hyperlink("http://historiamujeres.es/mujerp.html#Perez_Martinez","Pérez Martínez, Carmen")</f>
        <v>Pérez Martínez, Carmen</v>
      </c>
      <c r="B687" s="1" t="s">
        <v>1532</v>
      </c>
      <c r="C687" s="1" t="s">
        <v>1533</v>
      </c>
      <c r="D687" s="1" t="s">
        <v>12</v>
      </c>
      <c r="E687" s="1" t="s">
        <v>12</v>
      </c>
      <c r="F687" s="2">
        <v>1913.0</v>
      </c>
      <c r="G687" s="1" t="s">
        <v>12</v>
      </c>
      <c r="H687" s="1">
        <v>1948.0</v>
      </c>
      <c r="I687" s="1" t="s">
        <v>12</v>
      </c>
      <c r="J687" s="1" t="s">
        <v>1534</v>
      </c>
      <c r="K687" s="1" t="s">
        <v>1535</v>
      </c>
      <c r="L687" s="3" t="s">
        <v>880</v>
      </c>
      <c r="M687" s="1" t="s">
        <v>1536</v>
      </c>
    </row>
    <row r="688">
      <c r="A688" s="4" t="str">
        <f>hyperlink("http://historiamujeres.es/mujerp.html#Perezva","Pérez Valiente, Marysol")</f>
        <v>Pérez Valiente, Marysol</v>
      </c>
      <c r="B688" s="1" t="s">
        <v>12</v>
      </c>
      <c r="C688" s="1" t="s">
        <v>1537</v>
      </c>
      <c r="D688" s="1" t="s">
        <v>12</v>
      </c>
      <c r="E688" s="1" t="s">
        <v>12</v>
      </c>
      <c r="F688" s="5">
        <v>1950.0</v>
      </c>
      <c r="G688" s="6" t="s">
        <v>17</v>
      </c>
      <c r="H688" s="1" t="s">
        <v>12</v>
      </c>
      <c r="I688" s="1">
        <v>2003.0</v>
      </c>
      <c r="J688" s="1" t="s">
        <v>216</v>
      </c>
      <c r="K688" s="1" t="s">
        <v>1538</v>
      </c>
      <c r="L688" s="3" t="s">
        <v>12</v>
      </c>
      <c r="M688" s="1" t="s">
        <v>12</v>
      </c>
    </row>
    <row r="689">
      <c r="A689" s="4" t="str">
        <f>hyperlink("http://historiamujeres.es/mujerp.html#PrezVer","Pérez Vera, Elisa")</f>
        <v>Pérez Vera, Elisa</v>
      </c>
      <c r="B689" s="1" t="s">
        <v>12</v>
      </c>
      <c r="C689" s="1" t="s">
        <v>1539</v>
      </c>
      <c r="D689" s="1" t="s">
        <v>12</v>
      </c>
      <c r="E689" s="1" t="s">
        <v>12</v>
      </c>
      <c r="F689" s="2">
        <v>1940.0</v>
      </c>
      <c r="G689" s="1" t="s">
        <v>12</v>
      </c>
      <c r="H689" s="1" t="s">
        <v>12</v>
      </c>
      <c r="I689" s="1" t="s">
        <v>12</v>
      </c>
      <c r="J689" s="1" t="s">
        <v>1540</v>
      </c>
      <c r="K689" s="1" t="s">
        <v>12</v>
      </c>
      <c r="L689" s="3" t="s">
        <v>12</v>
      </c>
      <c r="M689" s="1" t="s">
        <v>1541</v>
      </c>
    </row>
    <row r="690">
      <c r="A690" s="4" t="str">
        <f>hyperlink("http://historiamujeres.es/mujerp.html#Pestana","Pestaña Vargas , Pilar")</f>
        <v>Pestaña Vargas , Pilar</v>
      </c>
      <c r="B690" s="1" t="s">
        <v>12</v>
      </c>
      <c r="C690" s="1" t="s">
        <v>725</v>
      </c>
      <c r="D690" s="1" t="s">
        <v>12</v>
      </c>
      <c r="E690" s="1" t="s">
        <v>1542</v>
      </c>
      <c r="F690" s="5">
        <v>1930.0</v>
      </c>
      <c r="G690" s="6" t="s">
        <v>17</v>
      </c>
      <c r="H690" s="1" t="s">
        <v>12</v>
      </c>
      <c r="I690" s="1" t="s">
        <v>12</v>
      </c>
      <c r="J690" s="1" t="s">
        <v>546</v>
      </c>
      <c r="K690" s="1" t="s">
        <v>1543</v>
      </c>
      <c r="L690" s="3" t="s">
        <v>12</v>
      </c>
      <c r="M690" s="1" t="s">
        <v>12</v>
      </c>
    </row>
    <row r="691">
      <c r="A691" s="4" t="str">
        <f>hyperlink("http://historiamujeres.es/mujerp.html#Petenera","Petenera, Dolores La")</f>
        <v>Petenera, Dolores La</v>
      </c>
      <c r="B691" s="1" t="s">
        <v>12</v>
      </c>
      <c r="C691" s="1" t="s">
        <v>1544</v>
      </c>
      <c r="D691" s="1" t="s">
        <v>12</v>
      </c>
      <c r="E691" s="1" t="s">
        <v>12</v>
      </c>
      <c r="F691" s="5">
        <v>1820.0</v>
      </c>
      <c r="G691" s="6" t="s">
        <v>43</v>
      </c>
      <c r="H691" s="6">
        <v>1860.0</v>
      </c>
      <c r="I691" s="1">
        <v>1850.0</v>
      </c>
      <c r="J691" s="1" t="s">
        <v>1545</v>
      </c>
      <c r="K691" s="1" t="s">
        <v>12</v>
      </c>
      <c r="L691" s="3" t="s">
        <v>12</v>
      </c>
      <c r="M691" s="1" t="s">
        <v>1546</v>
      </c>
    </row>
    <row r="692">
      <c r="A692" s="4" t="str">
        <f>hyperlink("http://historiamujeres.es/mujerp.html#Picardo","Picardo Carranza, María Luisa Fernandar")</f>
        <v>Picardo Carranza, María Luisa Fernandar</v>
      </c>
      <c r="B692" s="1" t="s">
        <v>12</v>
      </c>
      <c r="C692" s="1" t="s">
        <v>205</v>
      </c>
      <c r="D692" s="1" t="s">
        <v>12</v>
      </c>
      <c r="E692" s="1" t="s">
        <v>12</v>
      </c>
      <c r="F692" s="2">
        <v>1925.0</v>
      </c>
      <c r="G692" s="1" t="s">
        <v>12</v>
      </c>
      <c r="H692" s="1" t="s">
        <v>12</v>
      </c>
      <c r="I692" s="1" t="s">
        <v>12</v>
      </c>
      <c r="J692" s="1" t="s">
        <v>1547</v>
      </c>
      <c r="K692" s="1" t="s">
        <v>1548</v>
      </c>
      <c r="L692" s="3" t="s">
        <v>12</v>
      </c>
      <c r="M692" s="1" t="s">
        <v>1231</v>
      </c>
    </row>
    <row r="693">
      <c r="A693" s="4" t="str">
        <f>hyperlink("http://historiamujeres.es/mujerp.html#PINEDA","Pineda, Mariana")</f>
        <v>Pineda, Mariana</v>
      </c>
      <c r="B693" s="1" t="s">
        <v>12</v>
      </c>
      <c r="C693" s="1" t="s">
        <v>30</v>
      </c>
      <c r="D693" s="1" t="s">
        <v>30</v>
      </c>
      <c r="E693" s="1" t="s">
        <v>12</v>
      </c>
      <c r="F693" s="2">
        <v>1804.0</v>
      </c>
      <c r="G693" s="1" t="s">
        <v>12</v>
      </c>
      <c r="H693" s="1">
        <v>1831.0</v>
      </c>
      <c r="I693" s="1" t="s">
        <v>12</v>
      </c>
      <c r="J693" s="1" t="s">
        <v>1549</v>
      </c>
      <c r="K693" s="1" t="s">
        <v>1550</v>
      </c>
      <c r="L693" s="3" t="s">
        <v>12</v>
      </c>
      <c r="M693" s="1" t="s">
        <v>12</v>
      </c>
    </row>
    <row r="694">
      <c r="A694" s="4" t="str">
        <f>hyperlink("http://historiamujeres.es/mujerp.html#PINTE","Pinteño, Carmen")</f>
        <v>Pinteño, Carmen</v>
      </c>
      <c r="B694" s="1" t="s">
        <v>12</v>
      </c>
      <c r="C694" s="1" t="s">
        <v>1551</v>
      </c>
      <c r="D694" s="1" t="s">
        <v>12</v>
      </c>
      <c r="E694" s="1" t="s">
        <v>12</v>
      </c>
      <c r="F694" s="2">
        <v>1937.0</v>
      </c>
      <c r="G694" s="1" t="s">
        <v>12</v>
      </c>
      <c r="H694" s="1" t="s">
        <v>12</v>
      </c>
      <c r="I694" s="1" t="s">
        <v>12</v>
      </c>
      <c r="J694" s="1" t="s">
        <v>65</v>
      </c>
      <c r="K694" s="1" t="s">
        <v>12</v>
      </c>
      <c r="L694" s="3" t="s">
        <v>12</v>
      </c>
      <c r="M694" s="1" t="s">
        <v>12</v>
      </c>
    </row>
    <row r="695">
      <c r="A695" s="7" t="str">
        <f>hyperlink("http://historiamujeres.es/mujerp.html#Piriz","Píriz Diego, Eudoxia")</f>
        <v>Píriz Diego, Eudoxia</v>
      </c>
      <c r="B695" s="9" t="s">
        <v>12</v>
      </c>
      <c r="C695" s="20" t="s">
        <v>1552</v>
      </c>
      <c r="D695" s="9" t="s">
        <v>30</v>
      </c>
      <c r="E695" s="9" t="s">
        <v>12</v>
      </c>
      <c r="F695" s="20">
        <v>1893.0</v>
      </c>
      <c r="G695" s="21" t="s">
        <v>12</v>
      </c>
      <c r="H695" s="20">
        <v>1980.0</v>
      </c>
      <c r="I695" s="9" t="s">
        <v>12</v>
      </c>
      <c r="J695" s="9" t="s">
        <v>1553</v>
      </c>
      <c r="K695" s="9" t="s">
        <v>12</v>
      </c>
      <c r="L695" s="19" t="s">
        <v>12</v>
      </c>
      <c r="M695" s="9" t="s">
        <v>1554</v>
      </c>
    </row>
    <row r="696">
      <c r="A696" s="40" t="str">
        <f>hyperlink("http://historiamujeres.es/mujerp.html#Plecusa","Plecusa, Acilia")</f>
        <v>Plecusa, Acilia</v>
      </c>
      <c r="B696" s="59"/>
      <c r="C696" s="33" t="s">
        <v>1555</v>
      </c>
      <c r="D696" s="33" t="s">
        <v>12</v>
      </c>
      <c r="E696" s="59"/>
      <c r="F696" s="27">
        <v>120.0</v>
      </c>
      <c r="G696" s="25" t="s">
        <v>43</v>
      </c>
      <c r="H696" s="25">
        <v>1160.0</v>
      </c>
      <c r="I696" s="33" t="s">
        <v>12</v>
      </c>
      <c r="J696" s="33" t="s">
        <v>1556</v>
      </c>
      <c r="K696" s="33" t="s">
        <v>443</v>
      </c>
      <c r="L696" s="41" t="s">
        <v>12</v>
      </c>
      <c r="M696" s="33" t="s">
        <v>1557</v>
      </c>
    </row>
    <row r="697">
      <c r="A697" s="4" t="str">
        <f>hyperlink("http://historiamujeres.es/mujerp.html#PLEGUEZUELOS","Pleguezuelos Aguilar, Francisca")</f>
        <v>Pleguezuelos Aguilar, Francisca</v>
      </c>
      <c r="B697" s="1" t="s">
        <v>12</v>
      </c>
      <c r="C697" s="1" t="s">
        <v>30</v>
      </c>
      <c r="D697" s="1" t="s">
        <v>12</v>
      </c>
      <c r="E697" s="1" t="s">
        <v>12</v>
      </c>
      <c r="F697" s="2">
        <v>1950.0</v>
      </c>
      <c r="G697" s="1" t="s">
        <v>12</v>
      </c>
      <c r="H697" s="1" t="s">
        <v>12</v>
      </c>
      <c r="I697" s="1" t="s">
        <v>12</v>
      </c>
      <c r="J697" s="1" t="s">
        <v>171</v>
      </c>
      <c r="K697" s="1" t="s">
        <v>12</v>
      </c>
      <c r="L697" s="3" t="s">
        <v>12</v>
      </c>
      <c r="M697" s="1" t="s">
        <v>12</v>
      </c>
    </row>
    <row r="698">
      <c r="A698" s="4" t="str">
        <f>hyperlink("http://historiamujeres.es/mujerp.html#Plotina","Plotina, Pompeia")</f>
        <v>Plotina, Pompeia</v>
      </c>
      <c r="B698" s="1" t="s">
        <v>12</v>
      </c>
      <c r="C698" s="1" t="s">
        <v>1558</v>
      </c>
      <c r="D698" s="1" t="s">
        <v>12</v>
      </c>
      <c r="E698" s="1" t="s">
        <v>1559</v>
      </c>
      <c r="F698" s="5">
        <v>55.0</v>
      </c>
      <c r="G698" s="6" t="s">
        <v>17</v>
      </c>
      <c r="H698" s="1">
        <v>121.0</v>
      </c>
      <c r="I698" s="1" t="s">
        <v>12</v>
      </c>
      <c r="J698" s="1" t="s">
        <v>1560</v>
      </c>
      <c r="K698" s="1" t="s">
        <v>12</v>
      </c>
      <c r="L698" s="3" t="s">
        <v>12</v>
      </c>
      <c r="M698" s="1" t="s">
        <v>1561</v>
      </c>
    </row>
    <row r="699">
      <c r="A699" s="4" t="str">
        <f>hyperlink("http://historiamujeres.es/mujerp.html#Poetisasg","Poetisas Granadinas del S. XII")</f>
        <v>Poetisas Granadinas del S. XII</v>
      </c>
      <c r="B699" s="1" t="s">
        <v>12</v>
      </c>
      <c r="C699" s="1" t="s">
        <v>12</v>
      </c>
      <c r="D699" s="1" t="s">
        <v>12</v>
      </c>
      <c r="E699" s="1" t="s">
        <v>30</v>
      </c>
      <c r="F699" s="2">
        <v>1101.0</v>
      </c>
      <c r="G699" s="1" t="s">
        <v>12</v>
      </c>
      <c r="H699" s="1">
        <v>1200.0</v>
      </c>
      <c r="I699" s="1" t="s">
        <v>12</v>
      </c>
      <c r="J699" s="1" t="s">
        <v>73</v>
      </c>
      <c r="K699" s="1" t="s">
        <v>12</v>
      </c>
      <c r="L699" s="3" t="s">
        <v>12</v>
      </c>
      <c r="M699" s="1" t="s">
        <v>72</v>
      </c>
    </row>
    <row r="700">
      <c r="A700" s="7" t="str">
        <f>hyperlink("http://historiamujeres.es/mujerp.html#Pomares","Pomares, Ana")</f>
        <v>Pomares, Ana</v>
      </c>
      <c r="B700" s="9" t="s">
        <v>12</v>
      </c>
      <c r="C700" s="9" t="s">
        <v>98</v>
      </c>
      <c r="D700" s="9" t="s">
        <v>12</v>
      </c>
      <c r="E700" s="9" t="s">
        <v>26</v>
      </c>
      <c r="F700" s="15">
        <v>1928.0</v>
      </c>
      <c r="G700" s="9" t="s">
        <v>12</v>
      </c>
      <c r="H700" s="9" t="s">
        <v>12</v>
      </c>
      <c r="I700" s="9">
        <v>1937.0</v>
      </c>
      <c r="J700" s="9" t="s">
        <v>1562</v>
      </c>
      <c r="K700" s="9" t="s">
        <v>762</v>
      </c>
      <c r="L700" s="14" t="s">
        <v>12</v>
      </c>
      <c r="M700" s="9" t="s">
        <v>1563</v>
      </c>
    </row>
    <row r="701">
      <c r="A701" s="4" t="str">
        <f>hyperlink("http://historiamujeres.es/mujerp.html#Ponce","Ponce de León Molina, Francisca")</f>
        <v>Ponce de León Molina, Francisca</v>
      </c>
      <c r="B701" s="1" t="s">
        <v>12</v>
      </c>
      <c r="C701" s="1" t="s">
        <v>1564</v>
      </c>
      <c r="D701" s="1" t="s">
        <v>542</v>
      </c>
      <c r="E701" s="1" t="s">
        <v>12</v>
      </c>
      <c r="F701" s="2">
        <v>1876.0</v>
      </c>
      <c r="G701" s="1" t="s">
        <v>12</v>
      </c>
      <c r="H701" s="1">
        <v>1961.0</v>
      </c>
      <c r="I701" s="1" t="s">
        <v>12</v>
      </c>
      <c r="J701" s="1" t="s">
        <v>1565</v>
      </c>
      <c r="K701" s="1" t="s">
        <v>12</v>
      </c>
      <c r="L701" s="3" t="s">
        <v>12</v>
      </c>
      <c r="M701" s="1" t="s">
        <v>12</v>
      </c>
    </row>
    <row r="702">
      <c r="A702" s="22" t="str">
        <f>hyperlink("http://historiamujeres.es/mujerp.html#Porcia","Porcia Maura")</f>
        <v>Porcia Maura</v>
      </c>
      <c r="B702" s="9" t="s">
        <v>12</v>
      </c>
      <c r="C702" s="9" t="s">
        <v>12</v>
      </c>
      <c r="D702" s="9" t="s">
        <v>1566</v>
      </c>
      <c r="E702" s="9" t="s">
        <v>1567</v>
      </c>
      <c r="F702" s="12">
        <v>125.0</v>
      </c>
      <c r="G702" s="13" t="s">
        <v>43</v>
      </c>
      <c r="H702" s="13">
        <v>175.0</v>
      </c>
      <c r="I702" s="1"/>
      <c r="J702" s="9" t="s">
        <v>1568</v>
      </c>
      <c r="K702" s="9" t="s">
        <v>1569</v>
      </c>
      <c r="L702" s="14" t="s">
        <v>12</v>
      </c>
      <c r="M702" s="9" t="s">
        <v>12</v>
      </c>
    </row>
    <row r="703">
      <c r="A703" s="4" t="str">
        <f>hyperlink("http://historiamujeres.es/mujerp.html#Porro","Porro Herrera, María José")</f>
        <v>Porro Herrera, María José</v>
      </c>
      <c r="B703" s="1" t="s">
        <v>12</v>
      </c>
      <c r="C703" s="1" t="s">
        <v>1570</v>
      </c>
      <c r="D703" s="1" t="s">
        <v>12</v>
      </c>
      <c r="E703" s="1" t="s">
        <v>24</v>
      </c>
      <c r="F703" s="2">
        <v>1944.0</v>
      </c>
      <c r="G703" s="1" t="s">
        <v>12</v>
      </c>
      <c r="H703" s="1" t="s">
        <v>12</v>
      </c>
      <c r="I703" s="1" t="s">
        <v>12</v>
      </c>
      <c r="J703" s="1" t="s">
        <v>22</v>
      </c>
      <c r="K703" s="1" t="s">
        <v>12</v>
      </c>
      <c r="L703" s="3" t="s">
        <v>12</v>
      </c>
      <c r="M703" s="1" t="s">
        <v>1571</v>
      </c>
    </row>
    <row r="704">
      <c r="A704" s="4" t="str">
        <f>hyperlink("http://historiamujeres.es/mujerp.html#Portillo","Portillo Hurtado, Mercedes")</f>
        <v>Portillo Hurtado, Mercedes</v>
      </c>
      <c r="B704" s="1" t="s">
        <v>12</v>
      </c>
      <c r="C704" s="1" t="s">
        <v>1572</v>
      </c>
      <c r="D704" s="1" t="s">
        <v>12</v>
      </c>
      <c r="E704" s="1" t="s">
        <v>1573</v>
      </c>
      <c r="F704" s="2">
        <v>1939.0</v>
      </c>
      <c r="G704" s="1" t="s">
        <v>12</v>
      </c>
      <c r="H704" s="1" t="s">
        <v>12</v>
      </c>
      <c r="I704" s="1" t="s">
        <v>12</v>
      </c>
      <c r="J704" s="1" t="s">
        <v>1574</v>
      </c>
      <c r="K704" s="1" t="s">
        <v>1575</v>
      </c>
      <c r="L704" s="3" t="s">
        <v>12</v>
      </c>
      <c r="M704" s="1" t="s">
        <v>1576</v>
      </c>
    </row>
    <row r="705">
      <c r="A705" s="4" t="str">
        <f>hyperlink("http://historiamujeres.es/mujerp.html#Presas","Presas de la Cárcel de El Acebuche. Almería ")</f>
        <v>Presas de la Cárcel de El Acebuche. Almería </v>
      </c>
      <c r="B705" s="1" t="s">
        <v>12</v>
      </c>
      <c r="C705" s="1" t="s">
        <v>12</v>
      </c>
      <c r="D705" s="1" t="s">
        <v>12</v>
      </c>
      <c r="E705" s="1" t="s">
        <v>1577</v>
      </c>
      <c r="F705" s="2">
        <v>1998.0</v>
      </c>
      <c r="G705" s="1" t="s">
        <v>12</v>
      </c>
      <c r="H705" s="1" t="s">
        <v>12</v>
      </c>
      <c r="I705" s="1" t="s">
        <v>12</v>
      </c>
      <c r="J705" s="1" t="s">
        <v>1578</v>
      </c>
      <c r="K705" s="1" t="s">
        <v>12</v>
      </c>
      <c r="L705" s="3" t="s">
        <v>12</v>
      </c>
      <c r="M705" s="1" t="s">
        <v>1579</v>
      </c>
    </row>
    <row r="706">
      <c r="A706" s="4" t="str">
        <f>hyperlink("http://historiamujeres.es/mujerp.html#Presas_p","Presas políticas bajo el franquismo tras la guerra de 1936-1939")</f>
        <v>Presas políticas bajo el franquismo tras la guerra de 1936-1939</v>
      </c>
      <c r="B706" s="1" t="s">
        <v>12</v>
      </c>
      <c r="C706" s="1" t="s">
        <v>12</v>
      </c>
      <c r="D706" s="1" t="s">
        <v>12</v>
      </c>
      <c r="E706" s="9" t="s">
        <v>1580</v>
      </c>
      <c r="F706" s="2">
        <v>1936.0</v>
      </c>
      <c r="G706" s="1" t="s">
        <v>12</v>
      </c>
      <c r="H706" s="1" t="s">
        <v>12</v>
      </c>
      <c r="I706" s="1" t="s">
        <v>12</v>
      </c>
      <c r="J706" s="1" t="s">
        <v>1581</v>
      </c>
      <c r="K706" s="1" t="s">
        <v>12</v>
      </c>
      <c r="L706" s="3" t="s">
        <v>12</v>
      </c>
      <c r="M706" s="1" t="s">
        <v>12</v>
      </c>
    </row>
    <row r="707">
      <c r="A707" s="4" t="str">
        <f>hyperlink("http://historiamujeres.es/mujerp.html#Prior","Prior, Balbina")</f>
        <v>Prior, Balbina</v>
      </c>
      <c r="B707" s="1" t="s">
        <v>12</v>
      </c>
      <c r="C707" s="1" t="s">
        <v>455</v>
      </c>
      <c r="D707" s="1" t="s">
        <v>12</v>
      </c>
      <c r="E707" s="1" t="s">
        <v>12</v>
      </c>
      <c r="F707" s="2">
        <v>1964.0</v>
      </c>
      <c r="G707" s="1" t="s">
        <v>12</v>
      </c>
      <c r="H707" s="1" t="s">
        <v>12</v>
      </c>
      <c r="I707" s="1" t="s">
        <v>12</v>
      </c>
      <c r="J707" s="1" t="s">
        <v>187</v>
      </c>
      <c r="K707" s="1" t="s">
        <v>12</v>
      </c>
      <c r="L707" s="3" t="s">
        <v>12</v>
      </c>
      <c r="M707" s="1" t="s">
        <v>12</v>
      </c>
    </row>
    <row r="708">
      <c r="A708" s="4" t="str">
        <f>hyperlink("http://historiamujeres.es/mujerp.html#Profesoras","Profesoras de música de Manuel de Falla")</f>
        <v>Profesoras de música de Manuel de Falla</v>
      </c>
      <c r="B708" s="1" t="s">
        <v>12</v>
      </c>
      <c r="C708" s="1" t="s">
        <v>12</v>
      </c>
      <c r="D708" s="1" t="s">
        <v>12</v>
      </c>
      <c r="E708" s="1" t="s">
        <v>205</v>
      </c>
      <c r="F708" s="5">
        <v>1855.0</v>
      </c>
      <c r="G708" s="6" t="s">
        <v>43</v>
      </c>
      <c r="H708" s="6">
        <v>1915.0</v>
      </c>
      <c r="I708" s="1" t="s">
        <v>12</v>
      </c>
      <c r="J708" s="1" t="s">
        <v>1582</v>
      </c>
      <c r="K708" s="1" t="s">
        <v>15</v>
      </c>
      <c r="L708" s="3" t="s">
        <v>12</v>
      </c>
      <c r="M708" s="1" t="s">
        <v>1583</v>
      </c>
    </row>
    <row r="709">
      <c r="A709" s="7" t="str">
        <f>hyperlink("http://historiamujeres.es/mujerp.html#Prostitutas-perchas","Prostitutas de las Perchas y Almería en general")</f>
        <v>Prostitutas de las Perchas y Almería en general</v>
      </c>
      <c r="B709" s="9" t="s">
        <v>12</v>
      </c>
      <c r="C709" s="9" t="s">
        <v>26</v>
      </c>
      <c r="D709" s="9" t="s">
        <v>12</v>
      </c>
      <c r="E709" s="9" t="s">
        <v>1584</v>
      </c>
      <c r="F709" s="15">
        <v>1889.0</v>
      </c>
      <c r="G709" s="13" t="s">
        <v>92</v>
      </c>
      <c r="H709" s="13">
        <v>1980.0</v>
      </c>
      <c r="I709" s="9" t="s">
        <v>12</v>
      </c>
      <c r="J709" s="9" t="s">
        <v>1585</v>
      </c>
      <c r="K709" s="9" t="s">
        <v>12</v>
      </c>
      <c r="L709" s="19" t="s">
        <v>12</v>
      </c>
      <c r="M709" s="9" t="s">
        <v>12</v>
      </c>
    </row>
    <row r="710">
      <c r="A710" s="7" t="str">
        <f>hyperlink("http://historiamujeres.es/mujerp.html#Puente","Puente, La")</f>
        <v>Puente, La</v>
      </c>
      <c r="B710" s="9" t="s">
        <v>12</v>
      </c>
      <c r="C710" s="9" t="s">
        <v>1586</v>
      </c>
      <c r="D710" s="9" t="s">
        <v>12</v>
      </c>
      <c r="E710" s="9" t="s">
        <v>12</v>
      </c>
      <c r="F710" s="12">
        <v>1700.0</v>
      </c>
      <c r="G710" s="13" t="s">
        <v>17</v>
      </c>
      <c r="H710" s="9" t="s">
        <v>12</v>
      </c>
      <c r="I710" s="9" t="s">
        <v>12</v>
      </c>
      <c r="J710" s="9" t="s">
        <v>1587</v>
      </c>
      <c r="K710" s="9" t="s">
        <v>12</v>
      </c>
      <c r="L710" s="14" t="s">
        <v>12</v>
      </c>
      <c r="M710" s="9" t="s">
        <v>1588</v>
      </c>
    </row>
    <row r="711">
      <c r="A711" s="4" t="str">
        <f>hyperlink("http://historiamujeres.es/mujerp.html#Puertas","Puertas Rodríguez, Fermina")</f>
        <v>Puertas Rodríguez, Fermina</v>
      </c>
      <c r="B711" s="1" t="s">
        <v>12</v>
      </c>
      <c r="C711" s="1" t="s">
        <v>12</v>
      </c>
      <c r="D711" s="1" t="s">
        <v>12</v>
      </c>
      <c r="E711" s="1" t="s">
        <v>30</v>
      </c>
      <c r="F711" s="5">
        <v>1940.0</v>
      </c>
      <c r="G711" s="6" t="s">
        <v>17</v>
      </c>
      <c r="H711" s="1" t="s">
        <v>12</v>
      </c>
      <c r="I711" s="1">
        <v>1997.0</v>
      </c>
      <c r="J711" s="1" t="s">
        <v>365</v>
      </c>
      <c r="K711" s="1" t="s">
        <v>1589</v>
      </c>
      <c r="L711" s="3" t="s">
        <v>12</v>
      </c>
      <c r="M711" s="1" t="s">
        <v>36</v>
      </c>
    </row>
    <row r="712">
      <c r="A712" s="4" t="str">
        <f>hyperlink("http://historiamujeres.es/mujerq.html#Qualam ","Qalam al Baskunsiyya")</f>
        <v>Qalam al Baskunsiyya</v>
      </c>
      <c r="B712" s="1" t="s">
        <v>12</v>
      </c>
      <c r="C712" s="1" t="s">
        <v>1590</v>
      </c>
      <c r="D712" s="1" t="s">
        <v>12</v>
      </c>
      <c r="E712" s="1" t="s">
        <v>24</v>
      </c>
      <c r="F712" s="5">
        <v>825.0</v>
      </c>
      <c r="G712" s="6" t="s">
        <v>1591</v>
      </c>
      <c r="H712" s="6">
        <v>875.0</v>
      </c>
      <c r="I712" s="1" t="s">
        <v>12</v>
      </c>
      <c r="J712" s="1" t="s">
        <v>628</v>
      </c>
      <c r="K712" s="1" t="s">
        <v>12</v>
      </c>
      <c r="L712" s="3" t="s">
        <v>12</v>
      </c>
      <c r="M712" s="1" t="s">
        <v>629</v>
      </c>
    </row>
    <row r="713">
      <c r="A713" s="4" t="str">
        <f>hyperlink("http://historiamujeres.es/mujerq.html#Qasmuna","Qasmuna bint Ismail")</f>
        <v>Qasmuna bint Ismail</v>
      </c>
      <c r="B713" s="1" t="s">
        <v>12</v>
      </c>
      <c r="C713" s="1" t="s">
        <v>1592</v>
      </c>
      <c r="D713" s="1" t="s">
        <v>12</v>
      </c>
      <c r="E713" s="1" t="s">
        <v>12</v>
      </c>
      <c r="F713" s="5">
        <v>1050.0</v>
      </c>
      <c r="G713" s="6" t="s">
        <v>43</v>
      </c>
      <c r="H713" s="6">
        <v>1110.0</v>
      </c>
      <c r="I713" s="1" t="s">
        <v>12</v>
      </c>
      <c r="J713" s="1" t="s">
        <v>73</v>
      </c>
      <c r="K713" s="1" t="s">
        <v>12</v>
      </c>
      <c r="L713" s="3" t="s">
        <v>12</v>
      </c>
      <c r="M713" s="1" t="s">
        <v>1593</v>
      </c>
    </row>
    <row r="714">
      <c r="A714" s="4" t="str">
        <f>hyperlink("http://historiamujeres.es/mujerq.html#Quieta","Quieta")</f>
        <v>Quieta</v>
      </c>
      <c r="B714" s="1" t="s">
        <v>12</v>
      </c>
      <c r="C714" s="1" t="s">
        <v>1594</v>
      </c>
      <c r="D714" s="1" t="s">
        <v>42</v>
      </c>
      <c r="E714" s="1" t="s">
        <v>12</v>
      </c>
      <c r="F714" s="5">
        <v>35.0</v>
      </c>
      <c r="G714" s="6" t="s">
        <v>43</v>
      </c>
      <c r="H714" s="6">
        <v>65.0</v>
      </c>
      <c r="J714" s="1" t="s">
        <v>443</v>
      </c>
      <c r="L714" s="3"/>
    </row>
    <row r="715">
      <c r="A715" s="4" t="str">
        <f>hyperlink("http://historiamujeres.es/mujerq.html#QUiLEZ","Quílez García, Ana María")</f>
        <v>Quílez García, Ana María</v>
      </c>
      <c r="B715" s="1" t="s">
        <v>12</v>
      </c>
      <c r="C715" s="1" t="s">
        <v>1458</v>
      </c>
      <c r="D715" s="1" t="s">
        <v>12</v>
      </c>
      <c r="E715" s="1" t="s">
        <v>12</v>
      </c>
      <c r="F715" s="2">
        <v>1947.0</v>
      </c>
      <c r="G715" s="1" t="s">
        <v>12</v>
      </c>
      <c r="H715" s="1" t="s">
        <v>12</v>
      </c>
      <c r="I715" s="1" t="s">
        <v>12</v>
      </c>
      <c r="J715" s="1" t="s">
        <v>1595</v>
      </c>
      <c r="K715" s="1" t="s">
        <v>1596</v>
      </c>
      <c r="L715" s="3" t="s">
        <v>12</v>
      </c>
      <c r="M715" s="1" t="s">
        <v>12</v>
      </c>
    </row>
    <row r="716">
      <c r="A716" s="4" t="str">
        <f>hyperlink("http://historiamujeres.es/mujerq.html#Quilez_Lucas","Quílez Lucas, Cecilia")</f>
        <v>Quílez Lucas, Cecilia</v>
      </c>
      <c r="B716" s="1" t="s">
        <v>12</v>
      </c>
      <c r="C716" s="1" t="s">
        <v>679</v>
      </c>
      <c r="D716" s="1" t="s">
        <v>12</v>
      </c>
      <c r="E716" s="1" t="s">
        <v>12</v>
      </c>
      <c r="F716" s="2">
        <v>1965.0</v>
      </c>
      <c r="G716" s="1" t="s">
        <v>12</v>
      </c>
      <c r="H716" s="1" t="s">
        <v>12</v>
      </c>
      <c r="I716" s="1" t="s">
        <v>12</v>
      </c>
      <c r="J716" s="1" t="s">
        <v>73</v>
      </c>
      <c r="K716" s="1" t="s">
        <v>12</v>
      </c>
      <c r="L716" s="3" t="s">
        <v>12</v>
      </c>
      <c r="M716" s="1" t="s">
        <v>12</v>
      </c>
    </row>
    <row r="717">
      <c r="A717" s="4" t="str">
        <f>hyperlink("http://historiamujeres.es/mujerq.html#Quincia","Quincia")</f>
        <v>Quincia</v>
      </c>
      <c r="B717" s="1" t="s">
        <v>12</v>
      </c>
      <c r="C717" s="1" t="s">
        <v>1597</v>
      </c>
      <c r="D717" s="1" t="s">
        <v>12</v>
      </c>
      <c r="E717" s="1" t="s">
        <v>206</v>
      </c>
      <c r="F717" s="5">
        <v>50.0</v>
      </c>
      <c r="G717" s="6" t="s">
        <v>43</v>
      </c>
      <c r="H717" s="6">
        <v>100.0</v>
      </c>
      <c r="I717" s="1" t="s">
        <v>12</v>
      </c>
      <c r="J717" s="1" t="s">
        <v>207</v>
      </c>
      <c r="K717" s="1" t="s">
        <v>12</v>
      </c>
      <c r="L717" s="3" t="s">
        <v>12</v>
      </c>
      <c r="M717" s="1" t="s">
        <v>1598</v>
      </c>
    </row>
    <row r="718">
      <c r="A718" s="4" t="str">
        <f>hyperlink("http://historiamujeres.es/mujerq.html#Quintos","Quintos del fines del XIX, Madres y esposas de los")</f>
        <v>Quintos del fines del XIX, Madres y esposas de los</v>
      </c>
      <c r="B718" s="1" t="s">
        <v>12</v>
      </c>
      <c r="C718" s="1" t="s">
        <v>26</v>
      </c>
      <c r="D718" s="1" t="s">
        <v>12</v>
      </c>
      <c r="E718" s="1" t="s">
        <v>12</v>
      </c>
      <c r="F718" s="2">
        <v>1875.0</v>
      </c>
      <c r="G718" s="1" t="s">
        <v>12</v>
      </c>
      <c r="H718" s="1">
        <v>1900.0</v>
      </c>
      <c r="I718" s="1" t="s">
        <v>12</v>
      </c>
      <c r="J718" s="1" t="s">
        <v>1599</v>
      </c>
      <c r="K718" s="1" t="s">
        <v>1600</v>
      </c>
      <c r="L718" s="3" t="s">
        <v>12</v>
      </c>
      <c r="M718" s="1" t="s">
        <v>12</v>
      </c>
    </row>
    <row r="719">
      <c r="A719" s="4" t="str">
        <f>hyperlink("http://historiamujeres.es/mujerq.html#Quinones","Quiñones Gutiérrez, Maribel")</f>
        <v>Quiñones Gutiérrez, Maribel</v>
      </c>
      <c r="B719" s="1" t="s">
        <v>1601</v>
      </c>
      <c r="C719" s="1" t="s">
        <v>129</v>
      </c>
      <c r="D719" s="1" t="s">
        <v>12</v>
      </c>
      <c r="E719" s="1" t="s">
        <v>12</v>
      </c>
      <c r="F719" s="2">
        <v>1954.0</v>
      </c>
      <c r="G719" s="1" t="s">
        <v>12</v>
      </c>
      <c r="H719" s="1" t="s">
        <v>12</v>
      </c>
      <c r="I719" s="1" t="s">
        <v>12</v>
      </c>
      <c r="J719" s="1" t="s">
        <v>51</v>
      </c>
      <c r="K719" s="1" t="s">
        <v>12</v>
      </c>
      <c r="L719" s="3" t="s">
        <v>12</v>
      </c>
      <c r="M719" s="1" t="s">
        <v>36</v>
      </c>
    </row>
    <row r="720">
      <c r="A720" s="7" t="str">
        <f>hyperlink("http://historiamujeres.es/mujerq.html#Quiros","Quirós Fernández y Tello, Jimena")</f>
        <v>Quirós Fernández y Tello, Jimena</v>
      </c>
      <c r="B720" s="9" t="s">
        <v>12</v>
      </c>
      <c r="C720" s="9" t="s">
        <v>26</v>
      </c>
      <c r="D720" s="9" t="s">
        <v>664</v>
      </c>
      <c r="E720" s="9" t="s">
        <v>12</v>
      </c>
      <c r="F720" s="15">
        <v>1889.0</v>
      </c>
      <c r="G720" s="9" t="s">
        <v>12</v>
      </c>
      <c r="H720" s="9" t="s">
        <v>12</v>
      </c>
      <c r="I720" s="9">
        <v>1983.0</v>
      </c>
      <c r="J720" s="9" t="s">
        <v>1602</v>
      </c>
      <c r="K720" s="9" t="s">
        <v>1603</v>
      </c>
      <c r="L720" s="14" t="s">
        <v>80</v>
      </c>
      <c r="M720" s="9" t="s">
        <v>1604</v>
      </c>
    </row>
    <row r="721">
      <c r="A721" s="4" t="str">
        <f>hyperlink("http://historiamujeres.es/mujerq.html#Quirosa","Quirosa-Cheyrouze, Pilar")</f>
        <v>Quirosa-Cheyrouze, Pilar</v>
      </c>
      <c r="B721" s="1" t="s">
        <v>12</v>
      </c>
      <c r="C721" s="1" t="s">
        <v>1605</v>
      </c>
      <c r="D721" s="1" t="s">
        <v>12</v>
      </c>
      <c r="E721" s="1" t="s">
        <v>26</v>
      </c>
      <c r="F721" s="2">
        <v>1956.0</v>
      </c>
      <c r="G721" s="1" t="s">
        <v>12</v>
      </c>
      <c r="H721" s="1" t="s">
        <v>12</v>
      </c>
      <c r="I721" s="1" t="s">
        <v>12</v>
      </c>
      <c r="J721" s="1" t="s">
        <v>113</v>
      </c>
      <c r="K721" s="1" t="s">
        <v>12</v>
      </c>
      <c r="L721" s="3" t="s">
        <v>12</v>
      </c>
      <c r="M721" s="1" t="s">
        <v>12</v>
      </c>
    </row>
    <row r="722">
      <c r="A722" s="4" t="str">
        <f>hyperlink("http://historiamujeres.es/mujerr.html#Raggio","Raggio, Olga")</f>
        <v>Raggio, Olga</v>
      </c>
      <c r="B722" s="1" t="s">
        <v>12</v>
      </c>
      <c r="C722" s="1" t="s">
        <v>206</v>
      </c>
      <c r="D722" s="1" t="s">
        <v>1072</v>
      </c>
      <c r="E722" s="1" t="s">
        <v>117</v>
      </c>
      <c r="F722" s="16">
        <v>1926.0</v>
      </c>
      <c r="G722" s="17" t="s">
        <v>12</v>
      </c>
      <c r="H722" s="1">
        <v>2009.0</v>
      </c>
      <c r="I722" s="1" t="s">
        <v>12</v>
      </c>
      <c r="J722" s="1" t="s">
        <v>1606</v>
      </c>
      <c r="K722" s="1" t="s">
        <v>12</v>
      </c>
      <c r="L722" s="3" t="s">
        <v>12</v>
      </c>
      <c r="M722" s="9" t="s">
        <v>1607</v>
      </c>
    </row>
    <row r="723">
      <c r="A723" s="4" t="str">
        <f>hyperlink("http://historiamujeres.es/mujerr.html#Ramirez_av","Ramírez de Avenaño y Ocaña, Sor Ana Maria")</f>
        <v>Ramírez de Avenaño y Ocaña, Sor Ana Maria</v>
      </c>
      <c r="B723" s="1" t="s">
        <v>12</v>
      </c>
      <c r="C723" s="1" t="s">
        <v>1608</v>
      </c>
      <c r="D723" s="1" t="s">
        <v>12</v>
      </c>
      <c r="E723" s="1" t="s">
        <v>26</v>
      </c>
      <c r="F723" s="2">
        <v>1692.0</v>
      </c>
      <c r="G723" s="1" t="s">
        <v>12</v>
      </c>
      <c r="H723" s="1">
        <v>1772.0</v>
      </c>
      <c r="I723" s="1" t="s">
        <v>12</v>
      </c>
      <c r="J723" s="1" t="s">
        <v>154</v>
      </c>
      <c r="K723" s="1" t="s">
        <v>12</v>
      </c>
      <c r="L723" s="3" t="s">
        <v>12</v>
      </c>
      <c r="M723" s="1" t="s">
        <v>12</v>
      </c>
    </row>
    <row r="724">
      <c r="A724" s="4" t="str">
        <f>hyperlink("http://historiamujeres.es/mujerr.html#Ramirez_Mendoza","Ramirez de Mendoza, Beatriz")</f>
        <v>Ramirez de Mendoza, Beatriz</v>
      </c>
      <c r="B724" s="1" t="s">
        <v>1609</v>
      </c>
      <c r="C724" s="1" t="s">
        <v>68</v>
      </c>
      <c r="D724" s="1" t="s">
        <v>68</v>
      </c>
      <c r="E724" s="1" t="s">
        <v>1610</v>
      </c>
      <c r="F724" s="2">
        <v>1554.0</v>
      </c>
      <c r="G724" s="1" t="s">
        <v>12</v>
      </c>
      <c r="H724" s="1">
        <v>1626.0</v>
      </c>
      <c r="J724" s="1" t="s">
        <v>1611</v>
      </c>
      <c r="K724" s="1" t="s">
        <v>119</v>
      </c>
      <c r="L724" s="3" t="s">
        <v>12</v>
      </c>
      <c r="M724" s="1" t="s">
        <v>12</v>
      </c>
    </row>
    <row r="725">
      <c r="A725" s="4" t="str">
        <f>hyperlink("http://historiamujeres.es/mujerr.html#Ramirez_am","Ramírez Sánchez, Amalia")</f>
        <v>Ramírez Sánchez, Amalia</v>
      </c>
      <c r="B725" s="1" t="s">
        <v>1612</v>
      </c>
      <c r="C725" s="1" t="s">
        <v>1613</v>
      </c>
      <c r="D725" s="1" t="s">
        <v>12</v>
      </c>
      <c r="E725" s="1" t="s">
        <v>68</v>
      </c>
      <c r="F725" s="2">
        <v>1834.0</v>
      </c>
      <c r="G725" s="1" t="s">
        <v>12</v>
      </c>
      <c r="H725" s="1">
        <v>1918.0</v>
      </c>
      <c r="I725" s="1" t="s">
        <v>12</v>
      </c>
      <c r="J725" s="1" t="s">
        <v>1411</v>
      </c>
      <c r="K725" s="1" t="s">
        <v>12</v>
      </c>
      <c r="L725" s="3" t="s">
        <v>12</v>
      </c>
      <c r="M725" s="1" t="s">
        <v>12</v>
      </c>
    </row>
    <row r="726">
      <c r="A726" s="22" t="str">
        <f>hyperlink("http://historiamujeres.es/mujerr.html#Reche","Reche Cabrera, Jerónima")</f>
        <v>Reche Cabrera, Jerónima</v>
      </c>
      <c r="B726" s="9" t="s">
        <v>12</v>
      </c>
      <c r="C726" s="9" t="s">
        <v>1614</v>
      </c>
      <c r="D726" s="9" t="s">
        <v>1615</v>
      </c>
      <c r="E726" s="9" t="s">
        <v>12</v>
      </c>
      <c r="F726" s="15">
        <v>1902.0</v>
      </c>
      <c r="G726" s="9" t="s">
        <v>12</v>
      </c>
      <c r="H726" s="9">
        <v>1960.0</v>
      </c>
      <c r="I726" s="1"/>
      <c r="J726" s="9" t="s">
        <v>59</v>
      </c>
      <c r="K726" s="9" t="s">
        <v>1616</v>
      </c>
      <c r="L726" s="14" t="s">
        <v>12</v>
      </c>
      <c r="M726" s="9" t="s">
        <v>12</v>
      </c>
    </row>
    <row r="727">
      <c r="A727" s="4" t="str">
        <f>hyperlink("http://historiamujeres.es/mujerr.html#Reder","Reder Gadow, Marion")</f>
        <v>Reder Gadow, Marion</v>
      </c>
      <c r="B727" s="1" t="s">
        <v>12</v>
      </c>
      <c r="C727" s="1" t="s">
        <v>12</v>
      </c>
      <c r="D727" s="1" t="s">
        <v>12</v>
      </c>
      <c r="E727" s="1" t="s">
        <v>98</v>
      </c>
      <c r="F727" s="5">
        <v>1950.0</v>
      </c>
      <c r="G727" s="6" t="s">
        <v>17</v>
      </c>
      <c r="H727" s="1" t="s">
        <v>12</v>
      </c>
      <c r="I727" s="1">
        <v>2000.0</v>
      </c>
      <c r="J727" s="1" t="s">
        <v>22</v>
      </c>
      <c r="K727" s="1" t="s">
        <v>12</v>
      </c>
      <c r="L727" s="3" t="s">
        <v>12</v>
      </c>
      <c r="M727" s="1" t="s">
        <v>1617</v>
      </c>
    </row>
    <row r="728">
      <c r="A728" s="4" t="str">
        <f>hyperlink("http://historiamujeres.es/mujerr.html#Reina","Reina Castrillo, Juana")</f>
        <v>Reina Castrillo, Juana</v>
      </c>
      <c r="B728" s="1" t="s">
        <v>1618</v>
      </c>
      <c r="C728" s="1" t="s">
        <v>27</v>
      </c>
      <c r="D728" s="1" t="s">
        <v>27</v>
      </c>
      <c r="E728" s="1" t="s">
        <v>12</v>
      </c>
      <c r="F728" s="2">
        <v>1925.0</v>
      </c>
      <c r="G728" s="1" t="s">
        <v>12</v>
      </c>
      <c r="H728" s="1">
        <v>1999.0</v>
      </c>
      <c r="I728" s="1" t="s">
        <v>12</v>
      </c>
      <c r="J728" s="1" t="s">
        <v>1619</v>
      </c>
      <c r="K728" s="1" t="s">
        <v>12</v>
      </c>
      <c r="L728" s="3" t="s">
        <v>12</v>
      </c>
      <c r="M728" s="1" t="s">
        <v>12</v>
      </c>
    </row>
    <row r="729">
      <c r="A729" s="24" t="s">
        <v>1620</v>
      </c>
      <c r="B729" s="9" t="s">
        <v>12</v>
      </c>
      <c r="C729" s="9" t="s">
        <v>1276</v>
      </c>
      <c r="D729" s="9" t="s">
        <v>205</v>
      </c>
      <c r="E729" s="9" t="s">
        <v>12</v>
      </c>
      <c r="F729" s="9">
        <v>1909.0</v>
      </c>
      <c r="G729" s="9" t="s">
        <v>12</v>
      </c>
      <c r="H729" s="9">
        <v>1981.0</v>
      </c>
      <c r="I729" s="9" t="s">
        <v>12</v>
      </c>
      <c r="J729" s="9" t="s">
        <v>1621</v>
      </c>
      <c r="K729" s="9" t="s">
        <v>1622</v>
      </c>
      <c r="L729" s="9" t="s">
        <v>1623</v>
      </c>
      <c r="M729" s="9" t="s">
        <v>1624</v>
      </c>
    </row>
    <row r="730">
      <c r="A730" s="24" t="s">
        <v>1625</v>
      </c>
      <c r="B730" s="9" t="s">
        <v>12</v>
      </c>
      <c r="C730" s="9" t="s">
        <v>1276</v>
      </c>
      <c r="D730" s="9" t="s">
        <v>205</v>
      </c>
      <c r="E730" s="9" t="s">
        <v>12</v>
      </c>
      <c r="F730" s="9">
        <v>1907.0</v>
      </c>
      <c r="G730" s="9"/>
      <c r="H730" s="9">
        <v>1936.0</v>
      </c>
      <c r="I730" s="9" t="s">
        <v>12</v>
      </c>
      <c r="J730" s="9" t="s">
        <v>1626</v>
      </c>
      <c r="K730" s="9" t="s">
        <v>1627</v>
      </c>
      <c r="L730" s="9" t="s">
        <v>1628</v>
      </c>
      <c r="M730" s="9" t="s">
        <v>12</v>
      </c>
    </row>
    <row r="731">
      <c r="A731" s="4" t="str">
        <f>hyperlink("http://historiamujeres.es/mujerr.html#Represaliadas","Represaliadas por el Franquismo")</f>
        <v>Represaliadas por el Franquismo</v>
      </c>
      <c r="B731" s="1" t="s">
        <v>12</v>
      </c>
      <c r="C731" s="1" t="s">
        <v>12</v>
      </c>
      <c r="D731" s="1" t="s">
        <v>12</v>
      </c>
      <c r="E731" s="1" t="s">
        <v>146</v>
      </c>
      <c r="F731" s="2">
        <v>1936.0</v>
      </c>
      <c r="G731" s="1" t="s">
        <v>12</v>
      </c>
      <c r="H731" s="1" t="s">
        <v>12</v>
      </c>
      <c r="I731" s="1" t="s">
        <v>12</v>
      </c>
      <c r="J731" s="1" t="s">
        <v>108</v>
      </c>
      <c r="K731" s="1" t="s">
        <v>12</v>
      </c>
      <c r="L731" s="3" t="s">
        <v>12</v>
      </c>
      <c r="M731" s="1" t="s">
        <v>1629</v>
      </c>
    </row>
    <row r="732">
      <c r="A732" s="4" t="str">
        <f>hyperlink("http://historiamujeres.es/mujerr.html#Republicanas_Fuentes","Republicanas de Fuentes de Andalucía asesinadas por los franquistas , Mujeres")</f>
        <v>Republicanas de Fuentes de Andalucía asesinadas por los franquistas , Mujeres</v>
      </c>
      <c r="B732" s="1" t="s">
        <v>12</v>
      </c>
      <c r="C732" s="1" t="s">
        <v>12</v>
      </c>
      <c r="D732" s="1" t="s">
        <v>1204</v>
      </c>
      <c r="E732" s="1" t="s">
        <v>12</v>
      </c>
      <c r="F732" s="2">
        <v>1936.0</v>
      </c>
      <c r="G732" s="1" t="s">
        <v>12</v>
      </c>
      <c r="H732" s="1" t="s">
        <v>12</v>
      </c>
      <c r="I732" s="1" t="s">
        <v>12</v>
      </c>
      <c r="J732" s="1" t="s">
        <v>1630</v>
      </c>
      <c r="K732" s="1" t="s">
        <v>1631</v>
      </c>
      <c r="L732" s="3" t="s">
        <v>12</v>
      </c>
      <c r="M732" s="1" t="s">
        <v>12</v>
      </c>
    </row>
    <row r="733">
      <c r="A733" s="4" t="str">
        <f>hyperlink("http://historiamujeres.es/mujerr.html#Reverte","Reverte Bernal, Concepción")</f>
        <v>Reverte Bernal, Concepción</v>
      </c>
      <c r="B733" s="1" t="s">
        <v>12</v>
      </c>
      <c r="C733" s="1" t="s">
        <v>205</v>
      </c>
      <c r="D733" s="1" t="s">
        <v>12</v>
      </c>
      <c r="E733" s="1" t="s">
        <v>12</v>
      </c>
      <c r="F733" s="5">
        <v>1955.0</v>
      </c>
      <c r="G733" s="6" t="s">
        <v>17</v>
      </c>
      <c r="H733" s="1" t="s">
        <v>12</v>
      </c>
      <c r="I733" s="1">
        <v>1990.0</v>
      </c>
      <c r="J733" s="1" t="s">
        <v>1632</v>
      </c>
      <c r="K733" s="1" t="s">
        <v>12</v>
      </c>
      <c r="L733" s="3" t="s">
        <v>12</v>
      </c>
      <c r="M733" s="1" t="s">
        <v>1231</v>
      </c>
    </row>
    <row r="734">
      <c r="A734" s="4" t="str">
        <f>hyperlink("http://historiamujeres.es/mujerr.html#Revuelta","Revuelta de Córdoba de 1652, Las mujeres inductoras en la")</f>
        <v>Revuelta de Córdoba de 1652, Las mujeres inductoras en la</v>
      </c>
      <c r="B734" s="1" t="s">
        <v>12</v>
      </c>
      <c r="C734" s="1" t="s">
        <v>24</v>
      </c>
      <c r="D734" s="1" t="s">
        <v>24</v>
      </c>
      <c r="E734" s="1" t="s">
        <v>12</v>
      </c>
      <c r="F734" s="2">
        <v>1652.0</v>
      </c>
      <c r="G734" s="1" t="s">
        <v>12</v>
      </c>
      <c r="H734" s="1">
        <v>1652.0</v>
      </c>
      <c r="I734" s="1" t="s">
        <v>12</v>
      </c>
      <c r="J734" s="1" t="s">
        <v>1633</v>
      </c>
      <c r="K734" s="1" t="s">
        <v>12</v>
      </c>
      <c r="L734" s="3" t="s">
        <v>12</v>
      </c>
      <c r="M734" s="1" t="s">
        <v>12</v>
      </c>
    </row>
    <row r="735">
      <c r="A735" s="4" t="str">
        <f>hyperlink("http://historiamujeres.es/mujerc.html#CampoA","Reyes Laffitte, María de los")</f>
        <v>Reyes Laffitte, María de los</v>
      </c>
      <c r="B735" s="1" t="s">
        <v>1634</v>
      </c>
      <c r="C735" s="1" t="s">
        <v>27</v>
      </c>
      <c r="D735" s="1" t="s">
        <v>68</v>
      </c>
      <c r="E735" s="1" t="s">
        <v>12</v>
      </c>
      <c r="F735" s="2">
        <v>1902.0</v>
      </c>
      <c r="G735" s="1" t="s">
        <v>12</v>
      </c>
      <c r="H735" s="1">
        <v>1986.0</v>
      </c>
      <c r="I735" s="1" t="s">
        <v>12</v>
      </c>
      <c r="J735" s="1" t="s">
        <v>22</v>
      </c>
      <c r="K735" s="1" t="s">
        <v>56</v>
      </c>
      <c r="L735" s="3" t="s">
        <v>12</v>
      </c>
      <c r="M735" s="1" t="s">
        <v>12</v>
      </c>
    </row>
    <row r="736">
      <c r="A736" s="4" t="str">
        <f>hyperlink("http://historiamujeres.es/mujerr.html#Ribera","Ribera y Hurtado de Mendoza, Catalina de")</f>
        <v>Ribera y Hurtado de Mendoza, Catalina de</v>
      </c>
      <c r="B736" s="1" t="s">
        <v>12</v>
      </c>
      <c r="C736" s="1" t="s">
        <v>12</v>
      </c>
      <c r="D736" s="1" t="s">
        <v>27</v>
      </c>
      <c r="E736" s="1" t="s">
        <v>12</v>
      </c>
      <c r="F736" s="5">
        <v>1450.0</v>
      </c>
      <c r="G736" s="6" t="s">
        <v>17</v>
      </c>
      <c r="H736" s="1">
        <v>1505.0</v>
      </c>
      <c r="I736" s="1" t="s">
        <v>12</v>
      </c>
      <c r="J736" s="1" t="s">
        <v>1635</v>
      </c>
      <c r="K736" s="1" t="s">
        <v>1636</v>
      </c>
      <c r="L736" s="3" t="s">
        <v>1637</v>
      </c>
      <c r="M736" s="1" t="s">
        <v>12</v>
      </c>
    </row>
    <row r="737">
      <c r="A737" s="4" t="str">
        <f>hyperlink("http://historiamujeres.es/mujerr.html#Rienda","Rienda Contreras, María José")</f>
        <v>Rienda Contreras, María José</v>
      </c>
      <c r="B737" s="1" t="s">
        <v>12</v>
      </c>
      <c r="C737" s="1" t="s">
        <v>30</v>
      </c>
      <c r="D737" s="1" t="s">
        <v>12</v>
      </c>
      <c r="E737" s="1" t="s">
        <v>12</v>
      </c>
      <c r="F737" s="2">
        <v>1975.0</v>
      </c>
      <c r="G737" s="1" t="s">
        <v>12</v>
      </c>
      <c r="H737" s="1" t="s">
        <v>12</v>
      </c>
      <c r="I737" s="1" t="s">
        <v>12</v>
      </c>
      <c r="J737" s="1" t="s">
        <v>1638</v>
      </c>
      <c r="K737" s="1" t="s">
        <v>12</v>
      </c>
      <c r="L737" s="3" t="s">
        <v>12</v>
      </c>
      <c r="M737" s="1" t="s">
        <v>1639</v>
      </c>
    </row>
    <row r="738">
      <c r="A738" s="4" t="str">
        <f>hyperlink("http://historiamujeres.es/vidas/Maria-Encarnacion-Rigada-y-Ramon.html","Rigada y Ramón, María de la Encarnación")</f>
        <v>Rigada y Ramón, María de la Encarnación</v>
      </c>
      <c r="B738" s="9" t="s">
        <v>12</v>
      </c>
      <c r="C738" s="9" t="s">
        <v>205</v>
      </c>
      <c r="D738" s="9" t="s">
        <v>68</v>
      </c>
      <c r="E738" s="9" t="s">
        <v>12</v>
      </c>
      <c r="F738" s="9">
        <v>1863.0</v>
      </c>
      <c r="G738" s="9" t="s">
        <v>12</v>
      </c>
      <c r="H738" s="15">
        <v>1930.0</v>
      </c>
      <c r="I738" s="9" t="s">
        <v>12</v>
      </c>
      <c r="J738" s="1" t="s">
        <v>1640</v>
      </c>
      <c r="K738" s="1" t="s">
        <v>546</v>
      </c>
      <c r="L738" s="14" t="s">
        <v>1641</v>
      </c>
      <c r="M738" s="9" t="s">
        <v>12</v>
      </c>
    </row>
    <row r="739">
      <c r="A739" s="4" t="str">
        <f>hyperlink("http://historiamujeres.es/mujerr.html#Rio_sanchez","Río Sánchez, María del Pilar del")</f>
        <v>Río Sánchez, María del Pilar del</v>
      </c>
      <c r="B739" s="60" t="s">
        <v>12</v>
      </c>
      <c r="C739" s="9" t="s">
        <v>30</v>
      </c>
      <c r="D739" s="9" t="s">
        <v>12</v>
      </c>
      <c r="E739" s="9" t="s">
        <v>12</v>
      </c>
      <c r="F739" s="15">
        <v>1950.0</v>
      </c>
      <c r="G739" s="9" t="s">
        <v>12</v>
      </c>
      <c r="H739" s="9" t="s">
        <v>12</v>
      </c>
      <c r="I739" s="9" t="s">
        <v>12</v>
      </c>
      <c r="J739" s="9" t="s">
        <v>292</v>
      </c>
      <c r="K739" s="9" t="s">
        <v>1491</v>
      </c>
      <c r="L739" s="14" t="s">
        <v>12</v>
      </c>
      <c r="M739" s="9" t="s">
        <v>1642</v>
      </c>
    </row>
    <row r="740">
      <c r="A740" s="4" t="str">
        <f>hyperlink("http://historiamujeres.es/mujerr.html#Rios","Ríos Nostench, Blanca de los")</f>
        <v>Ríos Nostench, Blanca de los</v>
      </c>
      <c r="B740" s="1" t="s">
        <v>12</v>
      </c>
      <c r="C740" s="1" t="s">
        <v>27</v>
      </c>
      <c r="D740" s="1" t="s">
        <v>68</v>
      </c>
      <c r="E740" s="1" t="s">
        <v>12</v>
      </c>
      <c r="F740" s="2">
        <v>1862.0</v>
      </c>
      <c r="G740" s="1" t="s">
        <v>12</v>
      </c>
      <c r="H740" s="1">
        <v>1956.0</v>
      </c>
      <c r="I740" s="1" t="s">
        <v>12</v>
      </c>
      <c r="J740" s="1" t="s">
        <v>1643</v>
      </c>
      <c r="K740" s="1" t="s">
        <v>1644</v>
      </c>
      <c r="L740" s="3" t="s">
        <v>12</v>
      </c>
      <c r="M740" s="1" t="s">
        <v>1645</v>
      </c>
    </row>
    <row r="741">
      <c r="A741" s="4" t="str">
        <f>hyperlink("http://historiamujeres.es/mujerr.html#Riquelme","Riquelme O'Anley, Adela")</f>
        <v>Riquelme O'Anley, Adela</v>
      </c>
      <c r="B741" s="1" t="s">
        <v>12</v>
      </c>
      <c r="C741" s="1" t="s">
        <v>205</v>
      </c>
      <c r="D741" s="1" t="s">
        <v>12</v>
      </c>
      <c r="E741" s="1" t="s">
        <v>1646</v>
      </c>
      <c r="F741" s="2">
        <v>1840.0</v>
      </c>
      <c r="G741" s="6" t="s">
        <v>92</v>
      </c>
      <c r="H741" s="6">
        <v>1900.0</v>
      </c>
      <c r="I741" s="1" t="s">
        <v>12</v>
      </c>
      <c r="J741" s="1" t="s">
        <v>597</v>
      </c>
      <c r="K741" s="1" t="s">
        <v>1647</v>
      </c>
      <c r="L741" s="3" t="s">
        <v>1648</v>
      </c>
      <c r="M741" s="1" t="s">
        <v>1649</v>
      </c>
    </row>
    <row r="742">
      <c r="A742" s="4" t="str">
        <f>hyperlink("http://historiamujeres.es/mujerr.html#Rivera-tovar","Rivera Tovar, Milagros")</f>
        <v>Rivera Tovar, Milagros</v>
      </c>
      <c r="B742" s="1" t="s">
        <v>12</v>
      </c>
      <c r="C742" s="1" t="s">
        <v>1650</v>
      </c>
      <c r="D742" s="1" t="s">
        <v>12</v>
      </c>
      <c r="E742" s="1" t="s">
        <v>26</v>
      </c>
      <c r="F742" s="5">
        <v>1913.0</v>
      </c>
      <c r="G742" s="6" t="s">
        <v>43</v>
      </c>
      <c r="H742" s="17" t="s">
        <v>12</v>
      </c>
      <c r="I742" s="1">
        <v>1934.0</v>
      </c>
      <c r="J742" s="1" t="s">
        <v>1651</v>
      </c>
      <c r="K742" s="1" t="s">
        <v>12</v>
      </c>
      <c r="L742" s="3" t="s">
        <v>12</v>
      </c>
      <c r="M742" s="1" t="s">
        <v>1652</v>
      </c>
    </row>
    <row r="743">
      <c r="A743" s="4" t="str">
        <f>hyperlink("http://historiamujeres.es/mujerr.html#Robledillo","Robledillo, Antonia")</f>
        <v>Robledillo, Antonia</v>
      </c>
      <c r="B743" s="1" t="s">
        <v>1653</v>
      </c>
      <c r="C743" s="1" t="s">
        <v>12</v>
      </c>
      <c r="D743" s="1" t="s">
        <v>12</v>
      </c>
      <c r="E743" s="1" t="s">
        <v>24</v>
      </c>
      <c r="F743" s="5">
        <v>1915.0</v>
      </c>
      <c r="G743" s="6" t="s">
        <v>43</v>
      </c>
      <c r="H743" s="6">
        <v>1970.0</v>
      </c>
      <c r="I743" s="1">
        <v>1944.0</v>
      </c>
      <c r="J743" s="1" t="s">
        <v>1654</v>
      </c>
      <c r="K743" s="1" t="s">
        <v>12</v>
      </c>
      <c r="L743" s="3" t="s">
        <v>12</v>
      </c>
      <c r="M743" s="1" t="s">
        <v>12</v>
      </c>
    </row>
    <row r="744">
      <c r="A744" s="24" t="s">
        <v>1655</v>
      </c>
      <c r="B744" s="9" t="s">
        <v>12</v>
      </c>
      <c r="C744" s="9" t="s">
        <v>1656</v>
      </c>
      <c r="D744" s="9" t="s">
        <v>26</v>
      </c>
      <c r="E744" s="9" t="s">
        <v>12</v>
      </c>
      <c r="F744" s="29">
        <v>1887.0</v>
      </c>
      <c r="G744" s="21" t="s">
        <v>12</v>
      </c>
      <c r="H744" s="21">
        <v>1922.0</v>
      </c>
      <c r="I744" s="9" t="s">
        <v>12</v>
      </c>
      <c r="J744" s="9" t="s">
        <v>1657</v>
      </c>
      <c r="K744" s="9" t="s">
        <v>1658</v>
      </c>
      <c r="L744" s="19" t="s">
        <v>12</v>
      </c>
      <c r="M744" s="9" t="s">
        <v>1659</v>
      </c>
    </row>
    <row r="745">
      <c r="A745" s="7" t="str">
        <f>hyperlink("http://historiamujeres.es/mujerr.html#Roca","Roca Barea, María Elvira")</f>
        <v>Roca Barea, María Elvira</v>
      </c>
      <c r="B745" s="9" t="s">
        <v>12</v>
      </c>
      <c r="C745" s="9" t="s">
        <v>1660</v>
      </c>
      <c r="D745" s="9" t="s">
        <v>12</v>
      </c>
      <c r="E745" s="9" t="s">
        <v>12</v>
      </c>
      <c r="F745" s="15">
        <v>1966.0</v>
      </c>
      <c r="G745" s="9" t="s">
        <v>12</v>
      </c>
      <c r="H745" s="9" t="s">
        <v>12</v>
      </c>
      <c r="I745" s="9" t="s">
        <v>12</v>
      </c>
      <c r="J745" s="9" t="s">
        <v>1661</v>
      </c>
      <c r="K745" s="1"/>
      <c r="L745" s="3"/>
      <c r="M745" s="9" t="s">
        <v>1662</v>
      </c>
    </row>
    <row r="746">
      <c r="A746" s="4" t="str">
        <f>hyperlink("http://historiamujeres.es/mujerr.html#RODRIGO","Rodrigo Garcia, Antonina")</f>
        <v>Rodrigo Garcia, Antonina</v>
      </c>
      <c r="B746" s="1" t="s">
        <v>12</v>
      </c>
      <c r="C746" s="1" t="s">
        <v>30</v>
      </c>
      <c r="D746" s="1" t="s">
        <v>12</v>
      </c>
      <c r="E746" s="1" t="s">
        <v>542</v>
      </c>
      <c r="F746" s="2">
        <v>1935.0</v>
      </c>
      <c r="G746" s="1" t="s">
        <v>12</v>
      </c>
      <c r="H746" s="1" t="s">
        <v>12</v>
      </c>
      <c r="I746" s="1" t="s">
        <v>12</v>
      </c>
      <c r="J746" s="1" t="s">
        <v>22</v>
      </c>
      <c r="K746" s="1" t="s">
        <v>56</v>
      </c>
      <c r="L746" s="3" t="s">
        <v>12</v>
      </c>
      <c r="M746" s="1" t="s">
        <v>1663</v>
      </c>
    </row>
    <row r="747">
      <c r="A747" s="4" t="str">
        <f>hyperlink("http://historiamujeres.es/mujerr.html#Rodriguez_Barbera","Rodríguez  Barberá, María Jesús")</f>
        <v>Rodríguez  Barberá, María Jesús</v>
      </c>
      <c r="B747" s="1" t="s">
        <v>12</v>
      </c>
      <c r="C747" s="1" t="s">
        <v>1664</v>
      </c>
      <c r="D747" s="1" t="s">
        <v>12</v>
      </c>
      <c r="E747" s="1" t="s">
        <v>12</v>
      </c>
      <c r="F747" s="5">
        <v>1950.0</v>
      </c>
      <c r="G747" s="6" t="s">
        <v>17</v>
      </c>
      <c r="H747" s="1" t="s">
        <v>12</v>
      </c>
      <c r="I747" s="1">
        <v>2003.0</v>
      </c>
      <c r="J747" s="1" t="s">
        <v>216</v>
      </c>
      <c r="K747" s="1" t="s">
        <v>12</v>
      </c>
      <c r="L747" s="3" t="s">
        <v>12</v>
      </c>
      <c r="M747" s="1" t="s">
        <v>12</v>
      </c>
    </row>
    <row r="748">
      <c r="A748" s="4" t="str">
        <f>hyperlink("http://historiamujeres.es/mujerr.html#Rodriguez_Carnero","Rodríguez Carnero, María del Mar")</f>
        <v>Rodríguez Carnero, María del Mar</v>
      </c>
      <c r="B748" s="1" t="s">
        <v>1665</v>
      </c>
      <c r="C748" s="1" t="s">
        <v>98</v>
      </c>
      <c r="D748" s="1" t="s">
        <v>12</v>
      </c>
      <c r="E748" s="1" t="s">
        <v>12</v>
      </c>
      <c r="F748" s="2">
        <v>1975.0</v>
      </c>
      <c r="G748" s="1" t="s">
        <v>12</v>
      </c>
      <c r="H748" s="1" t="s">
        <v>12</v>
      </c>
      <c r="I748" s="1" t="s">
        <v>12</v>
      </c>
      <c r="J748" s="1" t="s">
        <v>51</v>
      </c>
      <c r="K748" s="1" t="s">
        <v>12</v>
      </c>
      <c r="L748" s="3" t="s">
        <v>12</v>
      </c>
      <c r="M748" s="1" t="s">
        <v>1666</v>
      </c>
    </row>
    <row r="749">
      <c r="A749" s="4" t="str">
        <f>hyperlink("http://historiamujeres.es/mujerm.html#Mikaela","Rodríguez Cuesta, Micaela")</f>
        <v>Rodríguez Cuesta, Micaela</v>
      </c>
      <c r="B749" s="1" t="s">
        <v>1667</v>
      </c>
      <c r="C749" s="1" t="s">
        <v>27</v>
      </c>
      <c r="D749" s="1" t="s">
        <v>12</v>
      </c>
      <c r="E749" s="1" t="s">
        <v>12</v>
      </c>
      <c r="F749" s="2">
        <v>1935.0</v>
      </c>
      <c r="G749" s="1" t="s">
        <v>12</v>
      </c>
      <c r="H749" s="1" t="s">
        <v>12</v>
      </c>
      <c r="I749" s="1" t="s">
        <v>12</v>
      </c>
      <c r="J749" s="1" t="s">
        <v>1619</v>
      </c>
      <c r="K749" s="1" t="s">
        <v>12</v>
      </c>
      <c r="L749" s="3" t="s">
        <v>12</v>
      </c>
      <c r="M749" s="1" t="s">
        <v>12</v>
      </c>
    </row>
    <row r="750">
      <c r="A750" s="4" t="str">
        <f>hyperlink("http://historiamujeres.es/mujerr.html#Rodriguez_de_Carasa","Rodríguez de Carasa, Ana")</f>
        <v>Rodríguez de Carasa, Ana</v>
      </c>
      <c r="B750" s="1" t="s">
        <v>12</v>
      </c>
      <c r="C750" s="1" t="s">
        <v>205</v>
      </c>
      <c r="D750" s="1" t="s">
        <v>1668</v>
      </c>
      <c r="E750" s="1" t="s">
        <v>12</v>
      </c>
      <c r="F750" s="2">
        <v>1763.0</v>
      </c>
      <c r="G750" s="1" t="s">
        <v>12</v>
      </c>
      <c r="H750" s="1">
        <v>1816.0</v>
      </c>
      <c r="I750" s="1" t="s">
        <v>12</v>
      </c>
      <c r="J750" s="1" t="s">
        <v>1669</v>
      </c>
      <c r="K750" s="1" t="s">
        <v>12</v>
      </c>
      <c r="L750" s="3" t="s">
        <v>12</v>
      </c>
      <c r="M750" s="1" t="s">
        <v>1670</v>
      </c>
    </row>
    <row r="751">
      <c r="A751" s="4" t="str">
        <f>hyperlink("http://historiamujeres.es/mujerr.html#Rodriguez_Gar","Rodríguez Garrido, María")</f>
        <v>Rodríguez Garrido, María</v>
      </c>
      <c r="B751" s="1" t="s">
        <v>1671</v>
      </c>
      <c r="C751" s="1" t="s">
        <v>262</v>
      </c>
      <c r="D751" s="1" t="s">
        <v>12</v>
      </c>
      <c r="E751" s="1" t="s">
        <v>12</v>
      </c>
      <c r="F751" s="2">
        <v>1978.0</v>
      </c>
      <c r="G751" s="1" t="s">
        <v>12</v>
      </c>
      <c r="H751" s="1" t="s">
        <v>12</v>
      </c>
      <c r="I751" s="1" t="s">
        <v>12</v>
      </c>
      <c r="J751" s="1" t="s">
        <v>51</v>
      </c>
      <c r="K751" s="1" t="s">
        <v>12</v>
      </c>
      <c r="L751" s="3" t="s">
        <v>12</v>
      </c>
      <c r="M751" s="1" t="s">
        <v>12</v>
      </c>
    </row>
    <row r="752">
      <c r="A752" s="7" t="str">
        <f>hyperlink("http://historiamujeres.es/mujerr.html#Rodriguez_ortiz","Rodríguez Ortiz, Marina del Mar")</f>
        <v>Rodríguez Ortiz, Marina del Mar</v>
      </c>
      <c r="B752" s="8" t="s">
        <v>12</v>
      </c>
      <c r="C752" s="8" t="s">
        <v>26</v>
      </c>
      <c r="D752" s="8" t="s">
        <v>12</v>
      </c>
      <c r="E752" s="8" t="s">
        <v>30</v>
      </c>
      <c r="F752" s="8">
        <v>1965.0</v>
      </c>
      <c r="G752" s="8" t="s">
        <v>92</v>
      </c>
      <c r="H752" s="8" t="s">
        <v>201</v>
      </c>
      <c r="I752" s="8">
        <v>1988.0</v>
      </c>
      <c r="J752" s="8" t="s">
        <v>897</v>
      </c>
      <c r="K752" s="8" t="s">
        <v>12</v>
      </c>
      <c r="L752" s="8" t="s">
        <v>12</v>
      </c>
      <c r="M752" s="8" t="s">
        <v>1672</v>
      </c>
    </row>
    <row r="753">
      <c r="A753" s="4" t="str">
        <f>hyperlink("http://historiamujeres.es/mujerr.html#Rodriguez_Rienda","Rodríguez Rienda, Consuelo")</f>
        <v>Rodríguez Rienda, Consuelo</v>
      </c>
      <c r="B753" s="1" t="s">
        <v>12</v>
      </c>
      <c r="C753" s="1" t="s">
        <v>12</v>
      </c>
      <c r="D753" s="1" t="s">
        <v>12</v>
      </c>
      <c r="E753" s="1" t="s">
        <v>26</v>
      </c>
      <c r="F753" s="5">
        <v>1910.0</v>
      </c>
      <c r="G753" s="6" t="s">
        <v>43</v>
      </c>
      <c r="H753" s="17" t="s">
        <v>12</v>
      </c>
      <c r="I753" s="1">
        <v>1933.0</v>
      </c>
      <c r="J753" s="1" t="s">
        <v>870</v>
      </c>
      <c r="K753" s="1" t="s">
        <v>12</v>
      </c>
      <c r="L753" s="3" t="s">
        <v>12</v>
      </c>
      <c r="M753" s="1" t="s">
        <v>1673</v>
      </c>
    </row>
    <row r="754">
      <c r="A754" s="4" t="str">
        <f>hyperlink("http://historiamujeres.es/mujerr.html#RODRiGU","Rodríguez Sopeña, María Dolores")</f>
        <v>Rodríguez Sopeña, María Dolores</v>
      </c>
      <c r="B754" s="1" t="s">
        <v>12</v>
      </c>
      <c r="C754" s="1" t="s">
        <v>1674</v>
      </c>
      <c r="D754" s="1" t="s">
        <v>68</v>
      </c>
      <c r="E754" s="1" t="s">
        <v>12</v>
      </c>
      <c r="F754" s="2">
        <v>1848.0</v>
      </c>
      <c r="G754" s="1" t="s">
        <v>12</v>
      </c>
      <c r="H754" s="1">
        <v>1918.0</v>
      </c>
      <c r="I754" s="1" t="s">
        <v>12</v>
      </c>
      <c r="J754" s="1" t="s">
        <v>1675</v>
      </c>
      <c r="K754" s="1" t="s">
        <v>12</v>
      </c>
      <c r="L754" s="3" t="s">
        <v>12</v>
      </c>
      <c r="M754" s="1" t="s">
        <v>1676</v>
      </c>
    </row>
    <row r="755">
      <c r="A755" s="4" t="str">
        <f>hyperlink("http://historiamujeres.es/mujerr.html#RodrIguez_Velasco","Rodríguez Velasco, Gracia")</f>
        <v>Rodríguez Velasco, Gracia</v>
      </c>
      <c r="B755" s="9" t="s">
        <v>12</v>
      </c>
      <c r="C755" s="9" t="s">
        <v>68</v>
      </c>
      <c r="D755" s="9" t="s">
        <v>12</v>
      </c>
      <c r="E755" s="9" t="s">
        <v>64</v>
      </c>
      <c r="F755" s="15">
        <v>1961.0</v>
      </c>
      <c r="G755" s="9" t="s">
        <v>12</v>
      </c>
      <c r="H755" s="9" t="s">
        <v>12</v>
      </c>
      <c r="I755" s="9" t="s">
        <v>12</v>
      </c>
      <c r="J755" s="9" t="s">
        <v>1677</v>
      </c>
      <c r="K755" s="9" t="s">
        <v>1678</v>
      </c>
      <c r="L755" s="14" t="s">
        <v>12</v>
      </c>
      <c r="M755" s="9" t="s">
        <v>612</v>
      </c>
    </row>
    <row r="756">
      <c r="A756" s="4" t="str">
        <f>hyperlink("http://historiamujeres.es/mujerr.html#Rodriguez_camacha","Rodríguez, Leonor")</f>
        <v>Rodríguez, Leonor</v>
      </c>
      <c r="B756" s="1" t="s">
        <v>1679</v>
      </c>
      <c r="C756" s="1" t="s">
        <v>85</v>
      </c>
      <c r="D756" s="1" t="s">
        <v>85</v>
      </c>
      <c r="E756" s="1" t="s">
        <v>12</v>
      </c>
      <c r="F756" s="2">
        <v>1532.0</v>
      </c>
      <c r="G756" s="1" t="s">
        <v>12</v>
      </c>
      <c r="H756" s="1">
        <v>1585.0</v>
      </c>
      <c r="J756" s="1" t="s">
        <v>203</v>
      </c>
      <c r="K756" s="1" t="s">
        <v>204</v>
      </c>
      <c r="L756" s="3" t="s">
        <v>350</v>
      </c>
      <c r="M756" s="1" t="s">
        <v>1680</v>
      </c>
    </row>
    <row r="757">
      <c r="A757" s="24" t="s">
        <v>1681</v>
      </c>
      <c r="B757" s="8" t="s">
        <v>1682</v>
      </c>
      <c r="C757" s="8" t="s">
        <v>205</v>
      </c>
      <c r="D757" s="8" t="s">
        <v>12</v>
      </c>
      <c r="E757" s="8" t="s">
        <v>12</v>
      </c>
      <c r="F757" s="8">
        <v>1952.0</v>
      </c>
      <c r="G757" s="8" t="s">
        <v>12</v>
      </c>
      <c r="H757" s="8" t="s">
        <v>12</v>
      </c>
      <c r="I757" s="8" t="s">
        <v>12</v>
      </c>
      <c r="J757" s="8" t="s">
        <v>568</v>
      </c>
      <c r="K757" s="8" t="s">
        <v>762</v>
      </c>
      <c r="L757" s="8" t="s">
        <v>12</v>
      </c>
      <c r="M757" s="8" t="s">
        <v>569</v>
      </c>
    </row>
    <row r="758">
      <c r="A758" s="4" t="str">
        <f>hyperlink("http://historiamujeres.es/mujerr.html#Rojas_A","Rojas Aranzana, María")</f>
        <v>Rojas Aranzana, María</v>
      </c>
      <c r="B758" s="1" t="s">
        <v>911</v>
      </c>
      <c r="C758" s="1" t="s">
        <v>1683</v>
      </c>
      <c r="D758" s="1" t="s">
        <v>12</v>
      </c>
      <c r="E758" s="1" t="s">
        <v>12</v>
      </c>
      <c r="F758" s="2">
        <v>1926.0</v>
      </c>
      <c r="G758" s="1" t="s">
        <v>12</v>
      </c>
      <c r="H758" s="1" t="s">
        <v>12</v>
      </c>
      <c r="I758" s="1" t="s">
        <v>12</v>
      </c>
      <c r="J758" s="1" t="s">
        <v>1684</v>
      </c>
      <c r="K758" s="1" t="s">
        <v>12</v>
      </c>
      <c r="L758" s="3" t="s">
        <v>12</v>
      </c>
      <c r="M758" s="1" t="s">
        <v>1685</v>
      </c>
    </row>
    <row r="759">
      <c r="A759" s="4" t="str">
        <f>hyperlink("http://historiamujeres.es/mujeri.html#IMPERIO","Rojas Monje, Pastora")</f>
        <v>Rojas Monje, Pastora</v>
      </c>
      <c r="B759" s="1" t="s">
        <v>1686</v>
      </c>
      <c r="C759" s="1" t="s">
        <v>27</v>
      </c>
      <c r="D759" s="1" t="s">
        <v>68</v>
      </c>
      <c r="E759" s="1" t="s">
        <v>12</v>
      </c>
      <c r="F759" s="2">
        <v>1894.0</v>
      </c>
      <c r="G759" s="1" t="s">
        <v>12</v>
      </c>
      <c r="H759" s="1">
        <v>1979.0</v>
      </c>
      <c r="I759" s="1" t="s">
        <v>12</v>
      </c>
      <c r="J759" s="1" t="s">
        <v>145</v>
      </c>
      <c r="K759" s="1" t="s">
        <v>12</v>
      </c>
      <c r="L759" s="3" t="s">
        <v>12</v>
      </c>
      <c r="M759" s="1" t="s">
        <v>1687</v>
      </c>
    </row>
    <row r="760">
      <c r="A760" s="4" t="str">
        <f>hyperlink("http://historiamujeres.es/mujerr.html#Rojas_y_Orgis","Rojas y Orgis, Guillermina")</f>
        <v>Rojas y Orgis, Guillermina</v>
      </c>
      <c r="B760" s="1" t="s">
        <v>12</v>
      </c>
      <c r="C760" s="1" t="s">
        <v>1688</v>
      </c>
      <c r="D760" s="1" t="s">
        <v>12</v>
      </c>
      <c r="E760" s="1" t="s">
        <v>205</v>
      </c>
      <c r="F760" s="16">
        <v>1849.0</v>
      </c>
      <c r="G760" s="6" t="s">
        <v>92</v>
      </c>
      <c r="H760" s="6">
        <v>1910.0</v>
      </c>
      <c r="I760" s="1" t="s">
        <v>12</v>
      </c>
      <c r="J760" s="1" t="s">
        <v>423</v>
      </c>
      <c r="K760" s="1" t="s">
        <v>80</v>
      </c>
      <c r="L760" s="14" t="s">
        <v>1689</v>
      </c>
      <c r="M760" s="1" t="s">
        <v>1690</v>
      </c>
    </row>
    <row r="761">
      <c r="A761" s="4" t="str">
        <f>hyperlink("http://historiamujeres.es/mujerr.html#ROLDANA","Roldán, Luisa Ignacia")</f>
        <v>Roldán, Luisa Ignacia</v>
      </c>
      <c r="B761" s="1" t="s">
        <v>1691</v>
      </c>
      <c r="C761" s="1" t="s">
        <v>27</v>
      </c>
      <c r="D761" s="1" t="s">
        <v>68</v>
      </c>
      <c r="E761" s="1" t="s">
        <v>12</v>
      </c>
      <c r="F761" s="2">
        <v>1656.0</v>
      </c>
      <c r="G761" s="1" t="s">
        <v>12</v>
      </c>
      <c r="H761" s="1">
        <v>1704.0</v>
      </c>
      <c r="I761" s="1" t="s">
        <v>12</v>
      </c>
      <c r="J761" s="1" t="s">
        <v>224</v>
      </c>
      <c r="K761" s="1" t="s">
        <v>12</v>
      </c>
      <c r="L761" s="3" t="s">
        <v>12</v>
      </c>
      <c r="M761" s="1" t="s">
        <v>1692</v>
      </c>
    </row>
    <row r="762">
      <c r="A762" s="4" t="str">
        <f>hyperlink("http://historiamujeres.es/mujerr.html#Romero","Romero de Torres, La mujeres de")</f>
        <v>Romero de Torres, La mujeres de</v>
      </c>
      <c r="B762" s="1" t="s">
        <v>12</v>
      </c>
      <c r="C762" s="1" t="s">
        <v>12</v>
      </c>
      <c r="D762" s="1" t="s">
        <v>12</v>
      </c>
      <c r="E762" s="1" t="s">
        <v>24</v>
      </c>
      <c r="F762" s="5">
        <v>1894.0</v>
      </c>
      <c r="G762" s="6" t="s">
        <v>43</v>
      </c>
      <c r="H762" s="6">
        <v>1930.0</v>
      </c>
      <c r="I762" s="1">
        <v>1920.0</v>
      </c>
      <c r="J762" s="1" t="s">
        <v>1693</v>
      </c>
      <c r="K762" s="1" t="s">
        <v>12</v>
      </c>
      <c r="L762" s="3" t="s">
        <v>12</v>
      </c>
      <c r="M762" s="1" t="s">
        <v>12</v>
      </c>
    </row>
    <row r="763">
      <c r="A763" s="24" t="s">
        <v>1694</v>
      </c>
      <c r="B763" s="9" t="s">
        <v>12</v>
      </c>
      <c r="C763" s="9" t="s">
        <v>68</v>
      </c>
      <c r="D763" s="9" t="s">
        <v>12</v>
      </c>
      <c r="E763" s="9" t="s">
        <v>26</v>
      </c>
      <c r="F763" s="9">
        <v>1947.0</v>
      </c>
      <c r="G763" s="9" t="s">
        <v>12</v>
      </c>
      <c r="H763" s="9" t="s">
        <v>12</v>
      </c>
      <c r="I763" s="9"/>
      <c r="J763" s="9" t="s">
        <v>1695</v>
      </c>
      <c r="K763" s="9" t="s">
        <v>188</v>
      </c>
      <c r="L763" s="9" t="s">
        <v>404</v>
      </c>
      <c r="M763" s="9" t="s">
        <v>12</v>
      </c>
    </row>
    <row r="764">
      <c r="A764" s="4" t="str">
        <f>hyperlink("http://historiamujeres.es/mujerr.html#Romero_filo","Romero, Filomena")</f>
        <v>Romero, Filomena</v>
      </c>
      <c r="B764" s="1" t="s">
        <v>12</v>
      </c>
      <c r="C764" s="1" t="s">
        <v>1696</v>
      </c>
      <c r="D764" s="1" t="s">
        <v>12</v>
      </c>
      <c r="E764" s="1" t="s">
        <v>98</v>
      </c>
      <c r="F764" s="2">
        <v>1950.0</v>
      </c>
      <c r="G764" s="1" t="s">
        <v>12</v>
      </c>
      <c r="H764" s="1" t="s">
        <v>12</v>
      </c>
      <c r="I764" s="1" t="s">
        <v>12</v>
      </c>
      <c r="J764" s="1" t="s">
        <v>216</v>
      </c>
      <c r="K764" s="1" t="s">
        <v>65</v>
      </c>
      <c r="L764" s="3" t="s">
        <v>12</v>
      </c>
      <c r="M764" s="1" t="s">
        <v>12</v>
      </c>
    </row>
    <row r="765">
      <c r="A765" s="7" t="str">
        <f>hyperlink("http://historiamujeres.es/mujerp.html#Patino","Romero, Paloma")</f>
        <v>Romero, Paloma</v>
      </c>
      <c r="B765" s="9" t="s">
        <v>1697</v>
      </c>
      <c r="C765" s="9" t="s">
        <v>1696</v>
      </c>
      <c r="D765" s="9" t="s">
        <v>12</v>
      </c>
      <c r="E765" s="9" t="s">
        <v>98</v>
      </c>
      <c r="F765" s="15">
        <v>1954.0</v>
      </c>
      <c r="G765" s="9" t="s">
        <v>12</v>
      </c>
      <c r="H765" s="9" t="s">
        <v>12</v>
      </c>
      <c r="I765" s="9" t="s">
        <v>12</v>
      </c>
      <c r="J765" s="9" t="s">
        <v>1698</v>
      </c>
      <c r="K765" s="9" t="s">
        <v>12</v>
      </c>
      <c r="L765" s="14" t="s">
        <v>12</v>
      </c>
      <c r="M765" s="9" t="s">
        <v>1699</v>
      </c>
    </row>
    <row r="766">
      <c r="A766" s="4" t="str">
        <f>hyperlink("http://historiamujeres.es/mujerr.html#Romojaro","Romojaro, Rosa")</f>
        <v>Romojaro, Rosa</v>
      </c>
      <c r="B766" s="1" t="s">
        <v>12</v>
      </c>
      <c r="C766" s="1" t="s">
        <v>679</v>
      </c>
      <c r="D766" s="1" t="s">
        <v>12</v>
      </c>
      <c r="E766" s="1" t="s">
        <v>12</v>
      </c>
      <c r="F766" s="2">
        <v>1948.0</v>
      </c>
      <c r="G766" s="1" t="s">
        <v>12</v>
      </c>
      <c r="H766" s="1" t="s">
        <v>12</v>
      </c>
      <c r="I766" s="1" t="s">
        <v>12</v>
      </c>
      <c r="J766" s="1" t="s">
        <v>216</v>
      </c>
      <c r="K766" s="1" t="s">
        <v>12</v>
      </c>
      <c r="L766" s="3" t="s">
        <v>12</v>
      </c>
      <c r="M766" s="4" t="str">
        <f>hyperlink("http://bib.cervantesvirtual.com/bib_autor/romojaro/","Página en biblioteca virtual cervantes")</f>
        <v>Página en biblioteca virtual cervantes</v>
      </c>
    </row>
    <row r="767">
      <c r="A767" s="4" t="str">
        <f>hyperlink("http://historiamujeres.es/mujerr.html#Rondenas","Rondeñas durante la Guerra de la Independencia, Mujeres")</f>
        <v>Rondeñas durante la Guerra de la Independencia, Mujeres</v>
      </c>
      <c r="B767" s="1" t="s">
        <v>12</v>
      </c>
      <c r="C767" s="1" t="s">
        <v>141</v>
      </c>
      <c r="D767" s="1" t="s">
        <v>141</v>
      </c>
      <c r="E767" s="1" t="s">
        <v>12</v>
      </c>
      <c r="F767" s="5">
        <v>1760.0</v>
      </c>
      <c r="G767" s="6" t="s">
        <v>43</v>
      </c>
      <c r="H767" s="6">
        <v>1840.0</v>
      </c>
      <c r="I767" s="1" t="s">
        <v>1700</v>
      </c>
      <c r="J767" s="1" t="s">
        <v>1701</v>
      </c>
      <c r="K767" s="1" t="s">
        <v>15</v>
      </c>
      <c r="L767" s="3" t="s">
        <v>12</v>
      </c>
      <c r="M767" s="1" t="s">
        <v>12</v>
      </c>
    </row>
    <row r="768">
      <c r="A768" s="22" t="str">
        <f>hyperlink("http://historiamujeres.es/mujerr.html#Rosa_Marina","Rosa Marina")</f>
        <v>Rosa Marina</v>
      </c>
      <c r="B768" s="9" t="s">
        <v>12</v>
      </c>
      <c r="C768" s="9" t="s">
        <v>12</v>
      </c>
      <c r="D768" s="1"/>
      <c r="E768" s="9" t="s">
        <v>205</v>
      </c>
      <c r="F768" s="12">
        <v>1830.0</v>
      </c>
      <c r="G768" s="13" t="s">
        <v>43</v>
      </c>
      <c r="H768" s="13">
        <v>1880.0</v>
      </c>
      <c r="I768" s="9">
        <v>1857.0</v>
      </c>
      <c r="J768" s="9" t="s">
        <v>113</v>
      </c>
      <c r="K768" s="9" t="s">
        <v>80</v>
      </c>
      <c r="L768" s="14" t="s">
        <v>12</v>
      </c>
      <c r="M768" s="9" t="s">
        <v>1702</v>
      </c>
    </row>
    <row r="769">
      <c r="A769" s="4" t="str">
        <f>hyperlink("http://historiamujeres.es/mujerr.html#Rosal","Rosal, María")</f>
        <v>Rosal, María</v>
      </c>
      <c r="B769" s="1" t="s">
        <v>12</v>
      </c>
      <c r="C769" s="1" t="s">
        <v>1703</v>
      </c>
      <c r="D769" s="1" t="s">
        <v>12</v>
      </c>
      <c r="E769" s="1" t="s">
        <v>12</v>
      </c>
      <c r="F769" s="2">
        <v>1961.0</v>
      </c>
      <c r="G769" s="1" t="s">
        <v>12</v>
      </c>
      <c r="H769" s="1" t="s">
        <v>12</v>
      </c>
      <c r="I769" s="1" t="s">
        <v>12</v>
      </c>
      <c r="J769" s="1" t="s">
        <v>1704</v>
      </c>
      <c r="K769" s="1" t="s">
        <v>1705</v>
      </c>
      <c r="L769" s="3" t="s">
        <v>12</v>
      </c>
      <c r="M769" s="1" t="s">
        <v>1706</v>
      </c>
    </row>
    <row r="770">
      <c r="A770" s="4" t="str">
        <f>hyperlink("http://historiamujeres.es/mujerr.html#Rosas","Rosas de Guillena, Las 17")</f>
        <v>Rosas de Guillena, Las 17</v>
      </c>
      <c r="B770" s="1" t="s">
        <v>12</v>
      </c>
      <c r="C770" s="1" t="s">
        <v>12</v>
      </c>
      <c r="D770" s="1" t="s">
        <v>1707</v>
      </c>
      <c r="E770" s="1" t="s">
        <v>12</v>
      </c>
      <c r="F770" s="5">
        <v>1890.0</v>
      </c>
      <c r="G770" s="6" t="s">
        <v>17</v>
      </c>
      <c r="H770" s="1">
        <v>1936.0</v>
      </c>
      <c r="I770" s="1" t="s">
        <v>12</v>
      </c>
      <c r="J770" s="1" t="s">
        <v>1708</v>
      </c>
      <c r="K770" s="1" t="s">
        <v>1709</v>
      </c>
      <c r="L770" s="3" t="s">
        <v>12</v>
      </c>
      <c r="M770" s="1" t="s">
        <v>1710</v>
      </c>
    </row>
    <row r="771">
      <c r="A771" s="4" t="str">
        <f>hyperlink("http://historiamujeres.es/mujerr.html#Rosas_fabrica","Rosas de la Fábrica de tabacos de Cádiz")</f>
        <v>Rosas de la Fábrica de tabacos de Cádiz</v>
      </c>
      <c r="B771" s="1" t="s">
        <v>12</v>
      </c>
      <c r="C771" s="1" t="s">
        <v>12</v>
      </c>
      <c r="D771" s="1" t="s">
        <v>205</v>
      </c>
      <c r="E771" s="1" t="s">
        <v>12</v>
      </c>
      <c r="F771" s="5">
        <v>1900.0</v>
      </c>
      <c r="G771" s="6" t="s">
        <v>17</v>
      </c>
      <c r="H771" s="1">
        <v>1936.0</v>
      </c>
      <c r="I771" s="1" t="s">
        <v>12</v>
      </c>
      <c r="J771" s="1" t="s">
        <v>299</v>
      </c>
      <c r="K771" s="1" t="s">
        <v>300</v>
      </c>
      <c r="L771" s="3" t="s">
        <v>1711</v>
      </c>
      <c r="M771" s="1" t="s">
        <v>12</v>
      </c>
    </row>
    <row r="772">
      <c r="A772" s="4" t="str">
        <f>hyperlink("http://historiamujeres.es/mujerr.html#Rubiales","Rubiales Torrejón, Amparo")</f>
        <v>Rubiales Torrejón, Amparo</v>
      </c>
      <c r="B772" s="1" t="s">
        <v>12</v>
      </c>
      <c r="C772" s="1" t="s">
        <v>68</v>
      </c>
      <c r="D772" s="1" t="s">
        <v>12</v>
      </c>
      <c r="E772" s="1" t="s">
        <v>27</v>
      </c>
      <c r="F772" s="2">
        <v>1945.0</v>
      </c>
      <c r="G772" s="1" t="s">
        <v>12</v>
      </c>
      <c r="H772" s="1" t="s">
        <v>12</v>
      </c>
      <c r="I772" s="1" t="s">
        <v>12</v>
      </c>
      <c r="J772" s="1" t="s">
        <v>171</v>
      </c>
      <c r="K772" s="1" t="s">
        <v>12</v>
      </c>
      <c r="L772" s="3" t="s">
        <v>12</v>
      </c>
      <c r="M772" s="1" t="s">
        <v>12</v>
      </c>
    </row>
    <row r="773">
      <c r="A773" s="4" t="str">
        <f>hyperlink("http://historiamujeres.es/mujerr.html#Rubio_Gamez","Rubio Gámez , Francisca")</f>
        <v>Rubio Gámez , Francisca</v>
      </c>
      <c r="B773" s="1" t="s">
        <v>1712</v>
      </c>
      <c r="C773" s="1" t="s">
        <v>1458</v>
      </c>
      <c r="D773" s="1" t="s">
        <v>12</v>
      </c>
      <c r="E773" s="1" t="s">
        <v>1613</v>
      </c>
      <c r="F773" s="2">
        <v>1949.0</v>
      </c>
      <c r="G773" s="1" t="s">
        <v>12</v>
      </c>
      <c r="H773" s="1" t="s">
        <v>12</v>
      </c>
      <c r="I773" s="1" t="s">
        <v>12</v>
      </c>
      <c r="J773" s="1" t="s">
        <v>1713</v>
      </c>
      <c r="K773" s="1" t="s">
        <v>12</v>
      </c>
      <c r="L773" s="3" t="s">
        <v>12</v>
      </c>
      <c r="M773" s="1" t="s">
        <v>12</v>
      </c>
    </row>
    <row r="774">
      <c r="A774" s="4" t="str">
        <f>hyperlink("http://historiamujeres.es/mujerr.html#Rubio","Rubio Monge,  María del Valle")</f>
        <v>Rubio Monge,  María del Valle</v>
      </c>
      <c r="B774" s="1" t="s">
        <v>12</v>
      </c>
      <c r="C774" s="1" t="s">
        <v>1714</v>
      </c>
      <c r="D774" s="1" t="s">
        <v>12</v>
      </c>
      <c r="E774" s="1" t="s">
        <v>27</v>
      </c>
      <c r="F774" s="2">
        <v>1939.0</v>
      </c>
      <c r="G774" s="1" t="s">
        <v>12</v>
      </c>
      <c r="H774" s="1" t="s">
        <v>12</v>
      </c>
      <c r="I774" s="1" t="s">
        <v>12</v>
      </c>
      <c r="J774" s="1" t="s">
        <v>216</v>
      </c>
      <c r="K774" s="1" t="s">
        <v>65</v>
      </c>
      <c r="L774" s="3" t="s">
        <v>12</v>
      </c>
      <c r="M774" s="1" t="s">
        <v>12</v>
      </c>
    </row>
    <row r="775">
      <c r="A775" s="24" t="s">
        <v>1715</v>
      </c>
      <c r="B775" s="9" t="s">
        <v>12</v>
      </c>
      <c r="C775" s="9" t="s">
        <v>98</v>
      </c>
      <c r="D775" s="9" t="s">
        <v>98</v>
      </c>
      <c r="E775" s="9" t="s">
        <v>12</v>
      </c>
      <c r="F775" s="9">
        <v>1906.0</v>
      </c>
      <c r="G775" s="36" t="s">
        <v>12</v>
      </c>
      <c r="H775" s="36">
        <v>1984.0</v>
      </c>
      <c r="I775" s="9" t="s">
        <v>12</v>
      </c>
      <c r="J775" s="9" t="s">
        <v>1716</v>
      </c>
      <c r="K775" s="9" t="s">
        <v>1717</v>
      </c>
      <c r="L775" s="14" t="s">
        <v>1718</v>
      </c>
      <c r="M775" s="9" t="s">
        <v>12</v>
      </c>
    </row>
    <row r="776">
      <c r="A776" s="4" t="str">
        <f>hyperlink("http://historiamujeres.es/mujerr.html#Rubio_Maria","Rubio, Maria")</f>
        <v>Rubio, Maria</v>
      </c>
      <c r="B776" s="1" t="s">
        <v>1719</v>
      </c>
      <c r="C776" s="1" t="s">
        <v>146</v>
      </c>
      <c r="D776" s="1" t="s">
        <v>12</v>
      </c>
      <c r="E776" s="1" t="s">
        <v>12</v>
      </c>
      <c r="F776" s="5">
        <v>1800.0</v>
      </c>
      <c r="G776" s="6" t="s">
        <v>43</v>
      </c>
      <c r="H776" s="6">
        <v>1860.0</v>
      </c>
      <c r="I776" s="1">
        <v>1824.0</v>
      </c>
      <c r="J776" s="1" t="s">
        <v>1720</v>
      </c>
      <c r="K776" s="1" t="s">
        <v>12</v>
      </c>
      <c r="L776" s="3" t="s">
        <v>12</v>
      </c>
      <c r="M776" s="1" t="s">
        <v>1721</v>
      </c>
    </row>
    <row r="777">
      <c r="A777" s="7" t="str">
        <f>hyperlink("http://historiamujeres.es/mujerj.html#Justa","Rufina")</f>
        <v>Rufina</v>
      </c>
      <c r="B777" s="9" t="s">
        <v>1067</v>
      </c>
      <c r="C777" s="9" t="s">
        <v>27</v>
      </c>
      <c r="D777" s="9" t="s">
        <v>27</v>
      </c>
      <c r="E777" s="9" t="s">
        <v>12</v>
      </c>
      <c r="F777" s="12">
        <v>270.0</v>
      </c>
      <c r="G777" s="13" t="s">
        <v>17</v>
      </c>
      <c r="H777" s="9">
        <v>287.0</v>
      </c>
      <c r="I777" s="9" t="s">
        <v>12</v>
      </c>
      <c r="J777" s="9" t="s">
        <v>1068</v>
      </c>
      <c r="K777" s="9" t="s">
        <v>1069</v>
      </c>
      <c r="L777" s="19" t="s">
        <v>1070</v>
      </c>
      <c r="M777" s="9" t="s">
        <v>12</v>
      </c>
    </row>
    <row r="778">
      <c r="A778" s="7" t="str">
        <f>hyperlink("http://historiamujeres.es/vidas/rufo-alcaide-julia.html","Rufo Alcaide, Julia")</f>
        <v>Rufo Alcaide, Julia</v>
      </c>
      <c r="B778" s="8" t="s">
        <v>12</v>
      </c>
      <c r="C778" s="8" t="s">
        <v>1722</v>
      </c>
      <c r="D778" s="8" t="s">
        <v>1723</v>
      </c>
      <c r="E778" s="8" t="s">
        <v>12</v>
      </c>
      <c r="F778" s="8">
        <v>1882.0</v>
      </c>
      <c r="H778" s="8">
        <v>1985.0</v>
      </c>
      <c r="I778" s="8" t="s">
        <v>12</v>
      </c>
      <c r="J778" s="8" t="s">
        <v>909</v>
      </c>
      <c r="K778" s="8" t="s">
        <v>554</v>
      </c>
      <c r="L778" s="8" t="s">
        <v>1724</v>
      </c>
    </row>
    <row r="779">
      <c r="A779" s="4" t="str">
        <f>hyperlink("http://historiamujeres.es/mujerr.html#Ruizdel","Ruiz de Larrea y Aherán, Francisca Javiera")</f>
        <v>Ruiz de Larrea y Aherán, Francisca Javiera</v>
      </c>
      <c r="B779" s="1" t="s">
        <v>1725</v>
      </c>
      <c r="C779" s="1" t="s">
        <v>205</v>
      </c>
      <c r="D779" s="1" t="s">
        <v>12</v>
      </c>
      <c r="E779" s="1" t="s">
        <v>12</v>
      </c>
      <c r="F779" s="2">
        <v>1775.0</v>
      </c>
      <c r="G779" s="1" t="s">
        <v>12</v>
      </c>
      <c r="H779" s="1">
        <v>1838.0</v>
      </c>
      <c r="I779" s="1" t="s">
        <v>12</v>
      </c>
      <c r="J779" s="1" t="s">
        <v>1726</v>
      </c>
      <c r="K779" s="1" t="s">
        <v>1727</v>
      </c>
      <c r="L779" s="3" t="s">
        <v>12</v>
      </c>
      <c r="M779" s="1" t="s">
        <v>1728</v>
      </c>
    </row>
    <row r="780">
      <c r="A780" s="4" t="str">
        <f>hyperlink("http://historiamujeres.es/mujerr.html#Ruiz_fern_nu","Ruiz Fernández, Nuria")</f>
        <v>Ruiz Fernández, Nuria</v>
      </c>
      <c r="B780" s="1" t="s">
        <v>1729</v>
      </c>
      <c r="C780" s="1" t="s">
        <v>1730</v>
      </c>
      <c r="D780" s="1" t="s">
        <v>12</v>
      </c>
      <c r="E780" s="1" t="s">
        <v>12</v>
      </c>
      <c r="F780" s="2">
        <v>1968.0</v>
      </c>
      <c r="G780" s="1" t="s">
        <v>12</v>
      </c>
      <c r="H780" s="1" t="s">
        <v>12</v>
      </c>
      <c r="I780" s="1" t="s">
        <v>12</v>
      </c>
      <c r="J780" s="1" t="s">
        <v>1731</v>
      </c>
      <c r="K780" s="1" t="s">
        <v>1732</v>
      </c>
      <c r="L780" s="3" t="s">
        <v>12</v>
      </c>
      <c r="M780" s="1" t="s">
        <v>12</v>
      </c>
    </row>
    <row r="781">
      <c r="A781" s="7" t="str">
        <f>hyperlink("http://historiamujeres.es/mujerr.html#Ruiz_Garzon","Ruiz Garzón, María Jesús")</f>
        <v>Ruiz Garzón, María Jesús</v>
      </c>
      <c r="B781" s="9" t="s">
        <v>12</v>
      </c>
      <c r="C781" s="9" t="s">
        <v>1397</v>
      </c>
      <c r="D781" s="9" t="s">
        <v>12</v>
      </c>
      <c r="E781" s="9" t="s">
        <v>12</v>
      </c>
      <c r="F781" s="15">
        <v>1982.0</v>
      </c>
      <c r="G781" s="9" t="s">
        <v>12</v>
      </c>
      <c r="H781" s="9" t="s">
        <v>12</v>
      </c>
      <c r="I781" s="9" t="s">
        <v>12</v>
      </c>
      <c r="J781" s="9" t="s">
        <v>214</v>
      </c>
      <c r="K781" s="9" t="s">
        <v>1733</v>
      </c>
      <c r="L781" s="14" t="s">
        <v>12</v>
      </c>
      <c r="M781" s="9" t="s">
        <v>1734</v>
      </c>
    </row>
    <row r="782">
      <c r="A782" s="7" t="str">
        <f>hyperlink("http://historiamujeres.es/vidas/ruiz-hernandez-ana.html","Ruiz Hernández, Ana")</f>
        <v>Ruiz Hernández, Ana</v>
      </c>
      <c r="B782" s="8" t="s">
        <v>12</v>
      </c>
      <c r="C782" s="8" t="s">
        <v>361</v>
      </c>
      <c r="D782" s="8" t="s">
        <v>1735</v>
      </c>
      <c r="E782" s="8" t="s">
        <v>12</v>
      </c>
      <c r="F782" s="8">
        <v>1854.0</v>
      </c>
      <c r="H782" s="8">
        <v>1939.0</v>
      </c>
      <c r="I782" s="8" t="s">
        <v>12</v>
      </c>
      <c r="J782" s="8" t="s">
        <v>1043</v>
      </c>
      <c r="K782" s="8" t="s">
        <v>12</v>
      </c>
      <c r="L782" s="8" t="s">
        <v>12</v>
      </c>
      <c r="M782" s="8" t="s">
        <v>1736</v>
      </c>
    </row>
    <row r="783">
      <c r="A783" s="4" t="str">
        <f>hyperlink("http://historiamujeres.es/mujerr.html#Ruiz_martos","Ruiz Martos, Maruja")</f>
        <v>Ruiz Martos, Maruja</v>
      </c>
      <c r="B783" s="1" t="s">
        <v>12</v>
      </c>
      <c r="C783" s="1" t="s">
        <v>941</v>
      </c>
      <c r="D783" s="1" t="s">
        <v>12</v>
      </c>
      <c r="E783" s="1" t="s">
        <v>542</v>
      </c>
      <c r="F783" s="2">
        <v>1936.0</v>
      </c>
      <c r="G783" s="1" t="s">
        <v>12</v>
      </c>
      <c r="H783" s="1" t="s">
        <v>12</v>
      </c>
      <c r="I783" s="1" t="s">
        <v>12</v>
      </c>
      <c r="J783" s="1" t="s">
        <v>1737</v>
      </c>
      <c r="K783" s="1" t="s">
        <v>590</v>
      </c>
      <c r="L783" s="3" t="s">
        <v>1091</v>
      </c>
      <c r="M783" s="1" t="s">
        <v>1738</v>
      </c>
    </row>
    <row r="784">
      <c r="A784" s="4" t="str">
        <f>hyperlink("http://historiamujeres.es/mujerr.html#Ruizmon","Ruiz Montero, María José")</f>
        <v>Ruiz Montero, María José</v>
      </c>
      <c r="B784" s="1" t="s">
        <v>12</v>
      </c>
      <c r="C784" s="1" t="s">
        <v>12</v>
      </c>
      <c r="D784" s="1" t="s">
        <v>12</v>
      </c>
      <c r="E784" s="1" t="s">
        <v>27</v>
      </c>
      <c r="F784" s="5">
        <v>1960.0</v>
      </c>
      <c r="G784" s="6" t="s">
        <v>17</v>
      </c>
      <c r="H784" s="1" t="s">
        <v>12</v>
      </c>
      <c r="I784" s="1">
        <v>1999.0</v>
      </c>
      <c r="J784" s="1" t="s">
        <v>658</v>
      </c>
      <c r="K784" s="1" t="s">
        <v>12</v>
      </c>
      <c r="L784" s="3" t="s">
        <v>12</v>
      </c>
      <c r="M784" s="1" t="s">
        <v>12</v>
      </c>
    </row>
    <row r="785">
      <c r="A785" s="4" t="str">
        <f>hyperlink("http://historiamujeres.es/mujerm.html#Montes","Ruiz Penella, Elisa")</f>
        <v>Ruiz Penella, Elisa</v>
      </c>
      <c r="B785" s="1" t="s">
        <v>1739</v>
      </c>
      <c r="C785" s="1" t="s">
        <v>30</v>
      </c>
      <c r="D785" s="1" t="s">
        <v>12</v>
      </c>
      <c r="E785" s="1" t="s">
        <v>12</v>
      </c>
      <c r="F785" s="2">
        <v>1934.0</v>
      </c>
      <c r="G785" s="1" t="s">
        <v>12</v>
      </c>
      <c r="H785" s="1" t="s">
        <v>12</v>
      </c>
      <c r="I785" s="1" t="s">
        <v>12</v>
      </c>
      <c r="J785" s="1" t="s">
        <v>214</v>
      </c>
      <c r="K785" s="1" t="s">
        <v>12</v>
      </c>
      <c r="L785" s="3" t="s">
        <v>12</v>
      </c>
      <c r="M785" s="1" t="s">
        <v>12</v>
      </c>
    </row>
    <row r="786">
      <c r="A786" s="4" t="str">
        <f>hyperlink("http://historiamujeres.es/mujerr.html#Ruiz_Ponce","Ruíz Ponce, Francisca")</f>
        <v>Ruíz Ponce, Francisca</v>
      </c>
      <c r="B786" s="1" t="s">
        <v>1740</v>
      </c>
      <c r="C786" s="1" t="s">
        <v>12</v>
      </c>
      <c r="D786" s="1" t="s">
        <v>12</v>
      </c>
      <c r="E786" s="1" t="s">
        <v>1741</v>
      </c>
      <c r="F786" s="5">
        <v>1915.0</v>
      </c>
      <c r="G786" s="6" t="s">
        <v>43</v>
      </c>
      <c r="H786" s="6">
        <v>1980.0</v>
      </c>
      <c r="I786" s="1">
        <v>1934.0</v>
      </c>
      <c r="J786" s="1" t="s">
        <v>59</v>
      </c>
      <c r="K786" s="1" t="s">
        <v>12</v>
      </c>
      <c r="L786" s="3" t="s">
        <v>12</v>
      </c>
      <c r="M786" s="1" t="s">
        <v>1742</v>
      </c>
    </row>
    <row r="787">
      <c r="A787" s="4" t="str">
        <f>hyperlink("http://historiamujeres.es/mujerc.html#COLCHONA","Ruiz Téllez, Micaela")</f>
        <v>Ruiz Téllez, Micaela</v>
      </c>
      <c r="B787" s="1" t="s">
        <v>1743</v>
      </c>
      <c r="C787" s="1" t="s">
        <v>767</v>
      </c>
      <c r="D787" s="1" t="s">
        <v>767</v>
      </c>
      <c r="E787" s="1" t="s">
        <v>12</v>
      </c>
      <c r="F787" s="2">
        <v>1824.0</v>
      </c>
      <c r="G787" s="1" t="s">
        <v>12</v>
      </c>
      <c r="H787" s="1">
        <v>1901.0</v>
      </c>
      <c r="I787" s="1" t="s">
        <v>12</v>
      </c>
      <c r="J787" s="1" t="s">
        <v>1744</v>
      </c>
      <c r="K787" s="1" t="s">
        <v>12</v>
      </c>
      <c r="L787" s="3" t="s">
        <v>12</v>
      </c>
      <c r="M787" s="1" t="s">
        <v>1745</v>
      </c>
    </row>
    <row r="788">
      <c r="A788" s="4" t="str">
        <f>hyperlink("http://historiamujeres.es/mujerr.html#Ruizpi","Ruiz-Picasso, Christine")</f>
        <v>Ruiz-Picasso, Christine</v>
      </c>
      <c r="B788" s="1" t="s">
        <v>12</v>
      </c>
      <c r="C788" s="1" t="s">
        <v>457</v>
      </c>
      <c r="D788" s="1" t="s">
        <v>12</v>
      </c>
      <c r="E788" s="1" t="s">
        <v>98</v>
      </c>
      <c r="F788" s="2">
        <v>1928.0</v>
      </c>
      <c r="G788" s="1" t="s">
        <v>12</v>
      </c>
      <c r="H788" s="1" t="s">
        <v>12</v>
      </c>
      <c r="I788" s="1" t="s">
        <v>12</v>
      </c>
      <c r="J788" s="1" t="s">
        <v>1746</v>
      </c>
      <c r="K788" s="1" t="s">
        <v>12</v>
      </c>
      <c r="L788" s="3" t="s">
        <v>12</v>
      </c>
      <c r="M788" s="1" t="s">
        <v>1747</v>
      </c>
    </row>
    <row r="789">
      <c r="A789" s="4" t="str">
        <f>hyperlink("http://historiamujeres.es/mujerr.html#Ruiz_Catalina","Ruiz, Catalina")</f>
        <v>Ruiz, Catalina</v>
      </c>
      <c r="B789" s="1" t="s">
        <v>12</v>
      </c>
      <c r="C789" s="1" t="s">
        <v>12</v>
      </c>
      <c r="D789" s="1" t="s">
        <v>12</v>
      </c>
      <c r="E789" s="1" t="s">
        <v>725</v>
      </c>
      <c r="F789" s="5">
        <v>1565.0</v>
      </c>
      <c r="G789" s="6" t="s">
        <v>43</v>
      </c>
      <c r="H789" s="6">
        <v>1620.0</v>
      </c>
      <c r="I789" s="1">
        <v>1589.0</v>
      </c>
      <c r="J789" s="1" t="s">
        <v>204</v>
      </c>
      <c r="K789" s="1" t="s">
        <v>1748</v>
      </c>
      <c r="L789" s="3" t="s">
        <v>12</v>
      </c>
      <c r="M789" s="1" t="s">
        <v>1749</v>
      </c>
    </row>
    <row r="790">
      <c r="A790" s="4" t="str">
        <f>hyperlink("http://historiamujeres.es/mujerr.html#Ruiz_Juana","Ruiz, Juana")</f>
        <v>Ruiz, Juana</v>
      </c>
      <c r="B790" s="1" t="s">
        <v>765</v>
      </c>
      <c r="C790" s="1" t="s">
        <v>12</v>
      </c>
      <c r="D790" s="1" t="s">
        <v>12</v>
      </c>
      <c r="E790" s="1" t="s">
        <v>12</v>
      </c>
      <c r="F790" s="5">
        <v>1540.0</v>
      </c>
      <c r="G790" s="6" t="s">
        <v>43</v>
      </c>
      <c r="H790" s="6">
        <v>1600.0</v>
      </c>
      <c r="I790" s="1">
        <v>1591.0</v>
      </c>
      <c r="J790" s="1" t="s">
        <v>204</v>
      </c>
      <c r="K790" s="1" t="s">
        <v>1750</v>
      </c>
      <c r="L790" s="3" t="s">
        <v>12</v>
      </c>
      <c r="M790" s="1" t="s">
        <v>1751</v>
      </c>
    </row>
    <row r="791">
      <c r="A791" s="4" t="str">
        <f>hyperlink("http://historiamujeres.es/mujerr.html#Rumaykiya","Rumaykiya, 'Itimad")</f>
        <v>Rumaykiya, 'Itimad</v>
      </c>
      <c r="B791" s="1" t="s">
        <v>1752</v>
      </c>
      <c r="C791" s="1" t="s">
        <v>12</v>
      </c>
      <c r="D791" s="1" t="s">
        <v>12</v>
      </c>
      <c r="E791" s="1" t="s">
        <v>1753</v>
      </c>
      <c r="F791" s="2">
        <v>1041.0</v>
      </c>
      <c r="G791" s="1" t="s">
        <v>12</v>
      </c>
      <c r="H791" s="1">
        <v>1095.0</v>
      </c>
      <c r="I791" s="1" t="s">
        <v>12</v>
      </c>
      <c r="J791" s="1" t="s">
        <v>1754</v>
      </c>
      <c r="K791" s="1" t="s">
        <v>73</v>
      </c>
      <c r="L791" s="3" t="s">
        <v>12</v>
      </c>
      <c r="M791" s="1" t="s">
        <v>1755</v>
      </c>
    </row>
    <row r="792">
      <c r="A792" s="4" t="str">
        <f>hyperlink("http://historiamujeres.es/mujerr.html#Rumi_Ibanez","Rumí Ibañez, Consuelo")</f>
        <v>Rumí Ibañez, Consuelo</v>
      </c>
      <c r="B792" s="1" t="s">
        <v>12</v>
      </c>
      <c r="C792" s="1" t="s">
        <v>26</v>
      </c>
      <c r="D792" s="1" t="s">
        <v>12</v>
      </c>
      <c r="E792" s="1" t="s">
        <v>12</v>
      </c>
      <c r="F792" s="2">
        <v>1957.0</v>
      </c>
      <c r="G792" s="1" t="s">
        <v>12</v>
      </c>
      <c r="H792" s="1" t="s">
        <v>12</v>
      </c>
      <c r="I792" s="1" t="s">
        <v>12</v>
      </c>
      <c r="J792" s="1" t="s">
        <v>171</v>
      </c>
      <c r="K792" s="1" t="s">
        <v>12</v>
      </c>
      <c r="L792" s="3" t="s">
        <v>12</v>
      </c>
      <c r="M792" s="1" t="s">
        <v>12</v>
      </c>
    </row>
    <row r="793">
      <c r="A793" s="4" t="str">
        <f>hyperlink("http://historiamujeres.es/mujerr.html#Rvizdelu","Rviz de Lvna, Amparo")</f>
        <v>Rviz de Lvna, Amparo</v>
      </c>
      <c r="B793" s="1" t="s">
        <v>12</v>
      </c>
      <c r="C793" s="1" t="s">
        <v>27</v>
      </c>
      <c r="D793" s="1" t="s">
        <v>12</v>
      </c>
      <c r="E793" s="1" t="s">
        <v>1756</v>
      </c>
      <c r="F793" s="2">
        <v>1944.0</v>
      </c>
      <c r="G793" s="1" t="s">
        <v>12</v>
      </c>
      <c r="H793" s="1" t="s">
        <v>12</v>
      </c>
      <c r="I793" s="1" t="s">
        <v>12</v>
      </c>
      <c r="J793" s="1" t="s">
        <v>1757</v>
      </c>
      <c r="K793" s="1" t="s">
        <v>12</v>
      </c>
      <c r="L793" s="3" t="s">
        <v>12</v>
      </c>
      <c r="M793" s="1" t="s">
        <v>12</v>
      </c>
    </row>
    <row r="794">
      <c r="A794" s="4" t="str">
        <f>hyperlink("http://historiamujeres.es/mujers.html#Saavedra","Saavedra Montaño, María")</f>
        <v>Saavedra Montaño, María</v>
      </c>
      <c r="B794" s="1" t="s">
        <v>12</v>
      </c>
      <c r="C794" s="1" t="s">
        <v>1758</v>
      </c>
      <c r="D794" s="1" t="s">
        <v>12</v>
      </c>
      <c r="E794" s="1" t="s">
        <v>1759</v>
      </c>
      <c r="F794" s="2">
        <v>1921.0</v>
      </c>
      <c r="G794" s="1" t="s">
        <v>12</v>
      </c>
      <c r="H794" s="1" t="s">
        <v>12</v>
      </c>
      <c r="I794" s="1" t="s">
        <v>12</v>
      </c>
      <c r="J794" s="1" t="s">
        <v>1760</v>
      </c>
      <c r="K794" s="1" t="s">
        <v>1761</v>
      </c>
      <c r="L794" s="3" t="s">
        <v>12</v>
      </c>
      <c r="M794" s="1" t="s">
        <v>12</v>
      </c>
    </row>
    <row r="795">
      <c r="A795" s="4" t="str">
        <f>hyperlink("http://historiamujeres.es/mujers.html#Sabina","Sabina Vibia")</f>
        <v>Sabina Vibia</v>
      </c>
      <c r="B795" s="1" t="s">
        <v>12</v>
      </c>
      <c r="C795" s="1" t="s">
        <v>205</v>
      </c>
      <c r="D795" s="1" t="s">
        <v>1762</v>
      </c>
      <c r="E795" s="1" t="s">
        <v>12</v>
      </c>
      <c r="F795" s="2">
        <v>86.0</v>
      </c>
      <c r="G795" s="1" t="s">
        <v>12</v>
      </c>
      <c r="H795" s="1">
        <v>136.0</v>
      </c>
      <c r="I795" s="1" t="s">
        <v>12</v>
      </c>
      <c r="J795" s="1" t="s">
        <v>1763</v>
      </c>
      <c r="K795" s="1" t="s">
        <v>1764</v>
      </c>
      <c r="L795" s="3" t="s">
        <v>12</v>
      </c>
      <c r="M795" s="1" t="s">
        <v>40</v>
      </c>
    </row>
    <row r="796">
      <c r="A796" s="4" t="str">
        <f>hyperlink("http://historiamujeres.es/mujers.html#Saenz","Sáenz de Viniegra y Velasco, Luisa Carlota")</f>
        <v>Sáenz de Viniegra y Velasco, Luisa Carlota</v>
      </c>
      <c r="B796" s="1" t="s">
        <v>12</v>
      </c>
      <c r="C796" s="1" t="s">
        <v>1765</v>
      </c>
      <c r="D796" s="1" t="s">
        <v>68</v>
      </c>
      <c r="E796" s="1" t="s">
        <v>12</v>
      </c>
      <c r="F796" s="2">
        <v>1792.0</v>
      </c>
      <c r="H796" s="1">
        <v>1865.0</v>
      </c>
      <c r="J796" s="1" t="s">
        <v>1766</v>
      </c>
      <c r="K796" s="1" t="s">
        <v>508</v>
      </c>
      <c r="L796" s="3" t="s">
        <v>12</v>
      </c>
      <c r="M796" s="1" t="s">
        <v>12</v>
      </c>
    </row>
    <row r="797">
      <c r="A797" s="4" t="str">
        <f>hyperlink("http://historiamujeres.es/mujers.html#Saez","Sáez Buenaventura, Carmen")</f>
        <v>Sáez Buenaventura, Carmen</v>
      </c>
      <c r="B797" s="1" t="s">
        <v>12</v>
      </c>
      <c r="C797" s="1" t="s">
        <v>1767</v>
      </c>
      <c r="D797" s="1" t="s">
        <v>12</v>
      </c>
      <c r="E797" s="1" t="s">
        <v>68</v>
      </c>
      <c r="F797" s="2">
        <v>1938.0</v>
      </c>
      <c r="G797" s="1" t="s">
        <v>12</v>
      </c>
      <c r="H797" s="1" t="s">
        <v>12</v>
      </c>
      <c r="I797" s="1" t="s">
        <v>12</v>
      </c>
      <c r="J797" s="1" t="s">
        <v>1768</v>
      </c>
      <c r="K797" s="1" t="s">
        <v>1769</v>
      </c>
      <c r="L797" s="3" t="s">
        <v>12</v>
      </c>
      <c r="M797" s="1" t="s">
        <v>40</v>
      </c>
    </row>
    <row r="798">
      <c r="A798" s="4" t="str">
        <f>hyperlink("http://historiamujeres.es/mujerk.html#Kaita","Salazar Saavedra, María de los Angeles")</f>
        <v>Salazar Saavedra, María de los Angeles</v>
      </c>
      <c r="B798" s="1" t="s">
        <v>1770</v>
      </c>
      <c r="C798" s="1" t="s">
        <v>1088</v>
      </c>
      <c r="D798" s="1" t="s">
        <v>12</v>
      </c>
      <c r="E798" s="1" t="s">
        <v>12</v>
      </c>
      <c r="F798" s="2">
        <v>1964.0</v>
      </c>
      <c r="G798" s="1" t="s">
        <v>12</v>
      </c>
      <c r="H798" s="1" t="s">
        <v>12</v>
      </c>
      <c r="I798" s="1" t="s">
        <v>12</v>
      </c>
      <c r="J798" s="1" t="s">
        <v>69</v>
      </c>
      <c r="K798" s="1" t="s">
        <v>12</v>
      </c>
      <c r="L798" s="3" t="s">
        <v>12</v>
      </c>
      <c r="M798" s="1" t="s">
        <v>12</v>
      </c>
    </row>
    <row r="799">
      <c r="A799" s="7" t="str">
        <f>hyperlink("http://historiamujeres.es/mujers.html#Salcedo","Salcedo, Beatriz de") </f>
        <v>Salcedo, Beatriz de</v>
      </c>
      <c r="B799" s="1" t="s">
        <v>12</v>
      </c>
      <c r="C799" s="9" t="s">
        <v>1771</v>
      </c>
      <c r="D799" s="9" t="s">
        <v>1772</v>
      </c>
      <c r="E799" s="1" t="s">
        <v>12</v>
      </c>
      <c r="F799" s="27">
        <v>1510.0</v>
      </c>
      <c r="G799" s="25" t="s">
        <v>43</v>
      </c>
      <c r="H799" s="25">
        <v>1570.0</v>
      </c>
      <c r="I799" s="1" t="s">
        <v>12</v>
      </c>
      <c r="J799" s="9" t="s">
        <v>1773</v>
      </c>
      <c r="K799" s="9" t="s">
        <v>1774</v>
      </c>
      <c r="L799" s="3" t="s">
        <v>12</v>
      </c>
      <c r="M799" s="9" t="s">
        <v>1775</v>
      </c>
    </row>
    <row r="800">
      <c r="A800" s="4" t="str">
        <f>hyperlink("http://historiamujeres.es/mujers.html#Salomon","Salomónula, Annian")</f>
        <v>Salomónula, Annian</v>
      </c>
      <c r="B800" s="1" t="s">
        <v>12</v>
      </c>
      <c r="C800" s="1" t="s">
        <v>402</v>
      </c>
      <c r="D800" s="1" t="s">
        <v>402</v>
      </c>
      <c r="E800" s="1" t="s">
        <v>12</v>
      </c>
      <c r="F800" s="5">
        <v>250.0</v>
      </c>
      <c r="G800" s="6" t="s">
        <v>43</v>
      </c>
      <c r="H800" s="6">
        <v>252.0</v>
      </c>
      <c r="I800" s="1" t="s">
        <v>12</v>
      </c>
      <c r="J800" s="1" t="s">
        <v>1776</v>
      </c>
      <c r="K800" s="1" t="s">
        <v>12</v>
      </c>
      <c r="L800" s="3" t="s">
        <v>12</v>
      </c>
      <c r="M800" s="1" t="s">
        <v>12</v>
      </c>
    </row>
    <row r="801">
      <c r="A801" s="7" t="str">
        <f>hyperlink("http://historiamujeres.es/mujers.html#Sambenitadas","Sambenitadas por la inquisición")</f>
        <v>Sambenitadas por la inquisición</v>
      </c>
      <c r="B801" s="9" t="s">
        <v>12</v>
      </c>
      <c r="C801" s="61" t="s">
        <v>222</v>
      </c>
      <c r="D801" s="9" t="s">
        <v>12</v>
      </c>
      <c r="E801" s="9" t="s">
        <v>12</v>
      </c>
      <c r="F801" s="12">
        <v>1530.0</v>
      </c>
      <c r="G801" s="13" t="s">
        <v>43</v>
      </c>
      <c r="H801" s="13">
        <v>1599.0</v>
      </c>
      <c r="I801" s="9">
        <v>1577.0</v>
      </c>
      <c r="J801" s="9" t="s">
        <v>48</v>
      </c>
      <c r="K801" s="9" t="s">
        <v>12</v>
      </c>
      <c r="L801" s="19" t="s">
        <v>12</v>
      </c>
      <c r="M801" s="9" t="s">
        <v>12</v>
      </c>
    </row>
    <row r="802">
      <c r="A802" s="4" t="str">
        <f>hyperlink("http://historiamujeres.es/mujers.html#Samper","Samper Rosas, Josefina")</f>
        <v>Samper Rosas, Josefina</v>
      </c>
      <c r="B802" s="9" t="s">
        <v>12</v>
      </c>
      <c r="C802" s="9" t="s">
        <v>1777</v>
      </c>
      <c r="D802" s="9" t="s">
        <v>68</v>
      </c>
      <c r="E802" s="9" t="s">
        <v>12</v>
      </c>
      <c r="F802" s="15">
        <v>1927.0</v>
      </c>
      <c r="G802" s="9" t="s">
        <v>12</v>
      </c>
      <c r="H802" s="9">
        <v>2018.0</v>
      </c>
      <c r="I802" s="9" t="s">
        <v>12</v>
      </c>
      <c r="J802" s="9" t="s">
        <v>1778</v>
      </c>
      <c r="K802" s="9" t="s">
        <v>1779</v>
      </c>
      <c r="L802" s="14" t="s">
        <v>12</v>
      </c>
      <c r="M802" s="9" t="s">
        <v>612</v>
      </c>
    </row>
    <row r="803">
      <c r="A803" s="4" t="str">
        <f>hyperlink("http://historiamujeres.es/mujers.html#San_Jeronimo","San Jerónimo Almansa, Sor Maria Bernardo de")</f>
        <v>San Jerónimo Almansa, Sor Maria Bernardo de</v>
      </c>
      <c r="B803" s="1" t="s">
        <v>12</v>
      </c>
      <c r="C803" s="1" t="s">
        <v>12</v>
      </c>
      <c r="D803" s="1" t="s">
        <v>12</v>
      </c>
      <c r="E803" s="1" t="s">
        <v>26</v>
      </c>
      <c r="F803" s="5">
        <v>1720.0</v>
      </c>
      <c r="G803" s="6" t="s">
        <v>43</v>
      </c>
      <c r="H803" s="6">
        <v>1780.0</v>
      </c>
      <c r="I803" s="1" t="s">
        <v>12</v>
      </c>
      <c r="J803" s="1" t="s">
        <v>154</v>
      </c>
      <c r="K803" s="1" t="s">
        <v>1780</v>
      </c>
      <c r="L803" s="3" t="s">
        <v>12</v>
      </c>
      <c r="M803" s="1" t="s">
        <v>12</v>
      </c>
    </row>
    <row r="804">
      <c r="A804" s="11" t="str">
        <f>hyperlink("http://historiamujeres.es/mujers.html#San_Juan_de_Aznalfarache_asesinadas","San Juan de Aznalfarache asesinadas, Nueve aceituneras de")</f>
        <v>San Juan de Aznalfarache asesinadas, Nueve aceituneras de</v>
      </c>
      <c r="B804" s="9" t="s">
        <v>12</v>
      </c>
      <c r="C804" s="9" t="s">
        <v>12</v>
      </c>
      <c r="D804" s="9" t="s">
        <v>1039</v>
      </c>
      <c r="E804" s="9" t="s">
        <v>12</v>
      </c>
      <c r="F804" s="15">
        <v>1893.0</v>
      </c>
      <c r="G804" s="1"/>
      <c r="H804" s="9">
        <v>1936.0</v>
      </c>
      <c r="I804" s="9">
        <v>1919.0</v>
      </c>
      <c r="J804" s="9" t="s">
        <v>1781</v>
      </c>
      <c r="K804" s="9" t="s">
        <v>1782</v>
      </c>
      <c r="L804" s="14" t="s">
        <v>1783</v>
      </c>
      <c r="M804" s="9" t="s">
        <v>1784</v>
      </c>
    </row>
    <row r="805">
      <c r="A805" s="4" t="str">
        <f>hyperlink("http://historiamujeres.es/mujers.html#Sanabria","Sanabria Cañete, Pilar")</f>
        <v>Sanabria Cañete, Pilar</v>
      </c>
      <c r="B805" s="1" t="s">
        <v>12</v>
      </c>
      <c r="C805" s="1" t="s">
        <v>24</v>
      </c>
      <c r="D805" s="1" t="s">
        <v>12</v>
      </c>
      <c r="E805" s="1" t="s">
        <v>12</v>
      </c>
      <c r="F805" s="2">
        <v>1963.0</v>
      </c>
      <c r="G805" s="1" t="s">
        <v>12</v>
      </c>
      <c r="H805" s="1" t="s">
        <v>12</v>
      </c>
      <c r="I805" s="1" t="s">
        <v>12</v>
      </c>
      <c r="J805" s="1" t="s">
        <v>216</v>
      </c>
      <c r="K805" s="1" t="s">
        <v>1785</v>
      </c>
      <c r="L805" s="3" t="s">
        <v>12</v>
      </c>
      <c r="M805" s="1" t="s">
        <v>12</v>
      </c>
    </row>
    <row r="806">
      <c r="A806" s="4" t="str">
        <f>hyperlink("http://historiamujeres.es/mujers.html#Sanchezbar","Sánchez Barba,  Antonia-María")</f>
        <v>Sánchez Barba,  Antonia-María</v>
      </c>
      <c r="B806" s="1" t="s">
        <v>12</v>
      </c>
      <c r="C806" s="1" t="s">
        <v>98</v>
      </c>
      <c r="D806" s="1" t="s">
        <v>12</v>
      </c>
      <c r="E806" s="1" t="s">
        <v>129</v>
      </c>
      <c r="F806" s="5">
        <v>1960.0</v>
      </c>
      <c r="G806" s="6" t="s">
        <v>17</v>
      </c>
      <c r="H806" s="1" t="s">
        <v>12</v>
      </c>
      <c r="I806" s="1" t="s">
        <v>12</v>
      </c>
      <c r="J806" s="1" t="s">
        <v>1786</v>
      </c>
      <c r="K806" s="1" t="s">
        <v>1787</v>
      </c>
      <c r="L806" s="3" t="s">
        <v>12</v>
      </c>
      <c r="M806" s="1" t="s">
        <v>12</v>
      </c>
    </row>
    <row r="807">
      <c r="A807" s="4" t="str">
        <f>hyperlink("http://historiamujeres.es/mujers.html#Sanchez_barea","Sánchez Barea, Ivonne")</f>
        <v>Sánchez Barea, Ivonne</v>
      </c>
      <c r="B807" s="1" t="s">
        <v>12</v>
      </c>
      <c r="C807" s="1" t="s">
        <v>581</v>
      </c>
      <c r="D807" s="1" t="s">
        <v>12</v>
      </c>
      <c r="E807" s="1" t="s">
        <v>1788</v>
      </c>
      <c r="F807" s="2">
        <v>1955.0</v>
      </c>
      <c r="G807" s="1" t="s">
        <v>12</v>
      </c>
      <c r="H807" s="1" t="s">
        <v>12</v>
      </c>
      <c r="I807" s="1" t="s">
        <v>12</v>
      </c>
      <c r="J807" s="1" t="s">
        <v>1084</v>
      </c>
      <c r="K807" s="1" t="s">
        <v>839</v>
      </c>
      <c r="L807" s="3" t="s">
        <v>12</v>
      </c>
      <c r="M807" s="1" t="s">
        <v>12</v>
      </c>
    </row>
    <row r="808">
      <c r="A808" s="7" t="str">
        <f>hyperlink("http://historiamujeres.es/mujers.html#Sanchez_Ben%EDtez","Sánchez Benítez, María Lucía")</f>
        <v>Sánchez Benítez, María Lucía</v>
      </c>
      <c r="B808" s="9" t="s">
        <v>1789</v>
      </c>
      <c r="C808" s="9" t="s">
        <v>68</v>
      </c>
      <c r="D808" s="9" t="s">
        <v>12</v>
      </c>
      <c r="E808" s="9" t="s">
        <v>1790</v>
      </c>
      <c r="F808" s="29">
        <v>1982.0</v>
      </c>
      <c r="G808" s="21" t="s">
        <v>12</v>
      </c>
      <c r="H808" s="21" t="s">
        <v>12</v>
      </c>
      <c r="I808" s="9" t="s">
        <v>12</v>
      </c>
      <c r="J808" s="9" t="s">
        <v>99</v>
      </c>
      <c r="K808" s="9" t="s">
        <v>12</v>
      </c>
      <c r="L808" s="19" t="s">
        <v>12</v>
      </c>
      <c r="M808" s="9" t="s">
        <v>298</v>
      </c>
    </row>
    <row r="809">
      <c r="A809" s="4" t="str">
        <f>hyperlink("http://historiamujeres.es/mujers.html#Snchez_Cano","Sánchez Cano, Rafaela")</f>
        <v>Sánchez Cano, Rafaela</v>
      </c>
      <c r="B809" s="1" t="s">
        <v>12</v>
      </c>
      <c r="C809" s="1" t="s">
        <v>24</v>
      </c>
      <c r="D809" s="1" t="s">
        <v>12</v>
      </c>
      <c r="E809" s="1" t="s">
        <v>346</v>
      </c>
      <c r="F809" s="2">
        <v>1947.0</v>
      </c>
      <c r="G809" s="1" t="s">
        <v>12</v>
      </c>
      <c r="H809" s="1" t="s">
        <v>12</v>
      </c>
      <c r="I809" s="1" t="s">
        <v>12</v>
      </c>
      <c r="J809" s="1" t="s">
        <v>1791</v>
      </c>
      <c r="K809" s="1" t="s">
        <v>216</v>
      </c>
      <c r="L809" s="3" t="s">
        <v>12</v>
      </c>
      <c r="M809" s="1" t="s">
        <v>12</v>
      </c>
    </row>
    <row r="810">
      <c r="A810" s="4" t="str">
        <f>hyperlink("http://historiamujeres.es/mujers.html#Sanchez_Delgado","Sánchez Delgado, María Esperanza")</f>
        <v>Sánchez Delgado, María Esperanza</v>
      </c>
      <c r="B810" s="1" t="s">
        <v>12</v>
      </c>
      <c r="C810" s="1" t="s">
        <v>1792</v>
      </c>
      <c r="D810" s="1" t="s">
        <v>12</v>
      </c>
      <c r="E810" s="1" t="s">
        <v>27</v>
      </c>
      <c r="F810" s="5">
        <v>1955.0</v>
      </c>
      <c r="G810" s="6" t="s">
        <v>17</v>
      </c>
      <c r="H810" s="1" t="s">
        <v>12</v>
      </c>
      <c r="I810" s="1" t="s">
        <v>12</v>
      </c>
      <c r="J810" s="1" t="s">
        <v>1785</v>
      </c>
      <c r="K810" s="1" t="s">
        <v>12</v>
      </c>
      <c r="L810" s="3" t="s">
        <v>12</v>
      </c>
      <c r="M810" s="1" t="s">
        <v>220</v>
      </c>
    </row>
    <row r="811">
      <c r="A811" s="4" t="str">
        <f>hyperlink("http://historiamujeres.es/mujers.html#Sanchezgafel","Sánchez García, María Felisa")</f>
        <v>Sánchez García, María Felisa</v>
      </c>
      <c r="B811" s="1" t="s">
        <v>12</v>
      </c>
      <c r="C811" s="1" t="s">
        <v>191</v>
      </c>
      <c r="D811" s="1" t="s">
        <v>12</v>
      </c>
      <c r="E811" s="1" t="s">
        <v>12</v>
      </c>
      <c r="F811" s="5">
        <v>1945.0</v>
      </c>
      <c r="G811" s="6" t="s">
        <v>17</v>
      </c>
      <c r="H811" s="1" t="s">
        <v>12</v>
      </c>
      <c r="I811" s="1">
        <v>1995.0</v>
      </c>
      <c r="J811" s="1" t="s">
        <v>187</v>
      </c>
      <c r="K811" s="1" t="s">
        <v>12</v>
      </c>
      <c r="L811" s="3" t="s">
        <v>12</v>
      </c>
      <c r="M811" s="1" t="s">
        <v>1793</v>
      </c>
    </row>
    <row r="812">
      <c r="A812" s="4" t="str">
        <f>hyperlink("http://historiamujeres.es/mujers.html#Sanchez_Gijon","Sánchez Gijón, Aitana")</f>
        <v>Sánchez Gijón, Aitana</v>
      </c>
      <c r="B812" s="1" t="s">
        <v>12</v>
      </c>
      <c r="C812" s="1" t="s">
        <v>206</v>
      </c>
      <c r="D812" s="1" t="s">
        <v>12</v>
      </c>
      <c r="E812" s="1" t="s">
        <v>726</v>
      </c>
      <c r="F812" s="2">
        <v>1968.0</v>
      </c>
      <c r="G812" s="1" t="s">
        <v>12</v>
      </c>
      <c r="H812" s="1" t="s">
        <v>12</v>
      </c>
      <c r="I812" s="1" t="s">
        <v>12</v>
      </c>
      <c r="J812" s="1" t="s">
        <v>1794</v>
      </c>
      <c r="K812" s="1" t="s">
        <v>12</v>
      </c>
      <c r="L812" s="3" t="s">
        <v>12</v>
      </c>
      <c r="M812" s="1" t="s">
        <v>12</v>
      </c>
    </row>
    <row r="813">
      <c r="A813" s="4" t="str">
        <f>hyperlink("http://historiamujeres.es/mujers.html#SaNCHEZ","Sánchez Jiménez, Encarna")</f>
        <v>Sánchez Jiménez, Encarna</v>
      </c>
      <c r="B813" s="1" t="s">
        <v>12</v>
      </c>
      <c r="C813" s="1" t="s">
        <v>1795</v>
      </c>
      <c r="D813" s="1" t="s">
        <v>68</v>
      </c>
      <c r="E813" s="1" t="s">
        <v>12</v>
      </c>
      <c r="F813" s="2">
        <v>1935.0</v>
      </c>
      <c r="G813" s="1" t="s">
        <v>12</v>
      </c>
      <c r="H813" s="1">
        <v>1996.0</v>
      </c>
      <c r="I813" s="1" t="s">
        <v>12</v>
      </c>
      <c r="J813" s="1" t="s">
        <v>1785</v>
      </c>
      <c r="K813" s="1" t="s">
        <v>12</v>
      </c>
      <c r="L813" s="3" t="s">
        <v>12</v>
      </c>
      <c r="M813" s="1" t="s">
        <v>12</v>
      </c>
    </row>
    <row r="814">
      <c r="A814" s="11" t="str">
        <f>hyperlink("http://historiamujeres.es/mujers.html#Sanchez_Luque","Sánchez Luque, Pilar")</f>
        <v>Sánchez Luque, Pilar</v>
      </c>
      <c r="B814" s="9" t="s">
        <v>1796</v>
      </c>
      <c r="C814" s="9" t="s">
        <v>1407</v>
      </c>
      <c r="D814" s="9" t="s">
        <v>12</v>
      </c>
      <c r="E814" s="9" t="s">
        <v>12</v>
      </c>
      <c r="F814" s="15">
        <v>1978.0</v>
      </c>
      <c r="G814" s="9" t="s">
        <v>12</v>
      </c>
      <c r="H814" s="9" t="s">
        <v>12</v>
      </c>
      <c r="I814" s="9" t="s">
        <v>12</v>
      </c>
      <c r="J814" s="9" t="s">
        <v>51</v>
      </c>
      <c r="K814" s="9" t="s">
        <v>777</v>
      </c>
      <c r="L814" s="14" t="s">
        <v>12</v>
      </c>
      <c r="M814" s="9" t="s">
        <v>483</v>
      </c>
    </row>
    <row r="815">
      <c r="A815" s="4" t="str">
        <f>hyperlink("http://historiamujeres.es/mujers.html#Sanchm","Sánchez Moreno, Trinidad")</f>
        <v>Sánchez Moreno, Trinidad</v>
      </c>
      <c r="B815" s="1" t="s">
        <v>12</v>
      </c>
      <c r="C815" s="1" t="s">
        <v>531</v>
      </c>
      <c r="D815" s="1" t="s">
        <v>12</v>
      </c>
      <c r="E815" s="1" t="s">
        <v>12</v>
      </c>
      <c r="F815" s="2">
        <v>1929.0</v>
      </c>
      <c r="G815" s="1" t="s">
        <v>12</v>
      </c>
      <c r="H815" s="1" t="s">
        <v>12</v>
      </c>
      <c r="I815" s="1" t="s">
        <v>12</v>
      </c>
      <c r="J815" s="1" t="s">
        <v>1797</v>
      </c>
      <c r="K815" s="1" t="s">
        <v>12</v>
      </c>
      <c r="L815" s="3" t="s">
        <v>12</v>
      </c>
      <c r="M815" s="1" t="s">
        <v>12</v>
      </c>
    </row>
    <row r="816">
      <c r="A816" s="24" t="s">
        <v>1798</v>
      </c>
      <c r="B816" s="9" t="s">
        <v>12</v>
      </c>
      <c r="C816" s="9" t="s">
        <v>24</v>
      </c>
      <c r="D816" s="9" t="s">
        <v>12</v>
      </c>
      <c r="E816" s="9" t="s">
        <v>12</v>
      </c>
      <c r="F816" s="9">
        <v>1989.0</v>
      </c>
      <c r="G816" s="9" t="s">
        <v>12</v>
      </c>
      <c r="H816" s="9" t="s">
        <v>12</v>
      </c>
      <c r="I816" s="9" t="s">
        <v>12</v>
      </c>
      <c r="J816" s="1" t="s">
        <v>408</v>
      </c>
      <c r="K816" s="9" t="s">
        <v>113</v>
      </c>
      <c r="L816" s="9" t="s">
        <v>1799</v>
      </c>
      <c r="M816" s="9" t="s">
        <v>401</v>
      </c>
    </row>
    <row r="817">
      <c r="A817" s="7" t="str">
        <f>hyperlink("http://historiamujeres.es/mujers.html#Sanchez_Santander","Sánchez Santander, Isabel")</f>
        <v>Sánchez Santander, Isabel</v>
      </c>
      <c r="B817" s="9" t="s">
        <v>12</v>
      </c>
      <c r="C817" s="9" t="s">
        <v>843</v>
      </c>
      <c r="D817" s="9" t="s">
        <v>12</v>
      </c>
      <c r="E817" s="9" t="s">
        <v>1800</v>
      </c>
      <c r="F817" s="15">
        <v>1969.0</v>
      </c>
      <c r="G817" s="9" t="s">
        <v>12</v>
      </c>
      <c r="H817" s="9" t="s">
        <v>12</v>
      </c>
      <c r="I817" s="9" t="s">
        <v>12</v>
      </c>
      <c r="J817" s="9" t="s">
        <v>1801</v>
      </c>
      <c r="K817" s="9" t="s">
        <v>12</v>
      </c>
      <c r="L817" s="19" t="s">
        <v>12</v>
      </c>
      <c r="M817" s="9" t="s">
        <v>1802</v>
      </c>
    </row>
    <row r="818">
      <c r="A818" s="4" t="str">
        <f>hyperlink("http://historiamujeres.es/mujers.html#Sanchezp","Sánchez, Pepi")</f>
        <v>Sánchez, Pepi</v>
      </c>
      <c r="B818" s="1" t="s">
        <v>12</v>
      </c>
      <c r="C818" s="1" t="s">
        <v>27</v>
      </c>
      <c r="D818" s="1" t="s">
        <v>12</v>
      </c>
      <c r="E818" s="1" t="s">
        <v>12</v>
      </c>
      <c r="F818" s="2">
        <v>1930.0</v>
      </c>
      <c r="G818" s="1" t="s">
        <v>12</v>
      </c>
      <c r="H818" s="1" t="s">
        <v>12</v>
      </c>
      <c r="I818" s="1" t="s">
        <v>12</v>
      </c>
      <c r="J818" s="1" t="s">
        <v>65</v>
      </c>
      <c r="K818" s="1" t="s">
        <v>12</v>
      </c>
      <c r="L818" s="3" t="s">
        <v>12</v>
      </c>
      <c r="M818" s="1" t="s">
        <v>12</v>
      </c>
    </row>
    <row r="819">
      <c r="A819" s="4" t="str">
        <f>hyperlink("http://historiamujeres.es/mujers.html#Sanchiz","Sanchiz Ochoa, Pilar")</f>
        <v>Sanchiz Ochoa, Pilar</v>
      </c>
      <c r="B819" s="1" t="s">
        <v>12</v>
      </c>
      <c r="C819" s="1" t="s">
        <v>12</v>
      </c>
      <c r="D819" s="1" t="s">
        <v>12</v>
      </c>
      <c r="E819" s="1" t="s">
        <v>1803</v>
      </c>
      <c r="F819" s="5">
        <v>1940.0</v>
      </c>
      <c r="G819" s="6" t="s">
        <v>17</v>
      </c>
      <c r="H819" s="1" t="s">
        <v>12</v>
      </c>
      <c r="I819" s="1">
        <v>1992.0</v>
      </c>
      <c r="J819" s="1" t="s">
        <v>1804</v>
      </c>
      <c r="K819" s="1" t="s">
        <v>1805</v>
      </c>
      <c r="L819" s="3" t="s">
        <v>12</v>
      </c>
      <c r="M819" s="1" t="s">
        <v>12</v>
      </c>
    </row>
    <row r="820">
      <c r="A820" s="4" t="str">
        <f>hyperlink("http://historiamujeres.es/mujers.html#Sanroma","Sanromá Martínez, Mercedes")</f>
        <v>Sanromá Martínez, Mercedes</v>
      </c>
      <c r="B820" s="1" t="s">
        <v>12</v>
      </c>
      <c r="C820" s="1" t="s">
        <v>1806</v>
      </c>
      <c r="D820" s="1" t="s">
        <v>12</v>
      </c>
      <c r="E820" s="1" t="s">
        <v>27</v>
      </c>
      <c r="F820" s="2">
        <v>1950.0</v>
      </c>
      <c r="G820" s="1" t="s">
        <v>12</v>
      </c>
      <c r="H820" s="1" t="s">
        <v>12</v>
      </c>
      <c r="I820" s="1" t="s">
        <v>12</v>
      </c>
      <c r="J820" s="1" t="s">
        <v>1807</v>
      </c>
      <c r="K820" s="1" t="s">
        <v>12</v>
      </c>
      <c r="L820" s="3" t="s">
        <v>12</v>
      </c>
      <c r="M820" s="1" t="s">
        <v>541</v>
      </c>
    </row>
    <row r="821">
      <c r="A821" s="4" t="str">
        <f>hyperlink("http://historiamujeres.es/mujers.html#Santa-Cruz_","Santa-Cruz González, Emiliana")</f>
        <v>Santa-Cruz González, Emiliana</v>
      </c>
      <c r="B821" s="1" t="s">
        <v>1808</v>
      </c>
      <c r="C821" s="1" t="s">
        <v>24</v>
      </c>
      <c r="D821" s="1" t="s">
        <v>24</v>
      </c>
      <c r="E821" s="1" t="s">
        <v>12</v>
      </c>
      <c r="F821" s="2">
        <v>1926.0</v>
      </c>
      <c r="G821" s="1" t="s">
        <v>12</v>
      </c>
      <c r="H821" s="1">
        <v>2004.0</v>
      </c>
      <c r="I821" s="1" t="s">
        <v>12</v>
      </c>
      <c r="J821" s="1" t="s">
        <v>113</v>
      </c>
      <c r="K821" s="1" t="s">
        <v>12</v>
      </c>
      <c r="L821" s="3" t="s">
        <v>12</v>
      </c>
      <c r="M821" s="1" t="s">
        <v>12</v>
      </c>
    </row>
    <row r="822">
      <c r="A822" s="4" t="str">
        <f>hyperlink("http://historiamujeres.es/mujers.html#Patricia_Santaella_Ana","Santaella, Ana Patricia")</f>
        <v>Santaella, Ana Patricia</v>
      </c>
      <c r="B822" s="1" t="s">
        <v>12</v>
      </c>
      <c r="C822" s="1" t="s">
        <v>24</v>
      </c>
      <c r="D822" s="1" t="s">
        <v>12</v>
      </c>
      <c r="E822" s="1" t="s">
        <v>12</v>
      </c>
      <c r="F822" s="5">
        <v>1950.0</v>
      </c>
      <c r="G822" s="6" t="s">
        <v>17</v>
      </c>
      <c r="H822" s="1" t="s">
        <v>12</v>
      </c>
      <c r="I822" s="1">
        <v>2009.0</v>
      </c>
      <c r="J822" s="1" t="s">
        <v>216</v>
      </c>
      <c r="K822" s="1" t="s">
        <v>365</v>
      </c>
      <c r="L822" s="3" t="s">
        <v>12</v>
      </c>
      <c r="M822" s="1" t="s">
        <v>12</v>
      </c>
    </row>
    <row r="823">
      <c r="A823" s="4" t="str">
        <f>hyperlink("http://historiamujeres.es/mujers.html#Santiago","Santiago Camacho, Carla")</f>
        <v>Santiago Camacho, Carla</v>
      </c>
      <c r="B823" s="9" t="s">
        <v>12</v>
      </c>
      <c r="C823" s="9" t="s">
        <v>12</v>
      </c>
      <c r="D823" s="9" t="s">
        <v>12</v>
      </c>
      <c r="E823" s="1" t="s">
        <v>1458</v>
      </c>
      <c r="F823" s="5">
        <v>1970.0</v>
      </c>
      <c r="G823" s="6" t="s">
        <v>17</v>
      </c>
      <c r="H823" s="1" t="s">
        <v>12</v>
      </c>
      <c r="I823" s="1">
        <v>2003.0</v>
      </c>
      <c r="J823" s="9" t="s">
        <v>1809</v>
      </c>
      <c r="K823" s="9" t="s">
        <v>1810</v>
      </c>
      <c r="L823" s="14" t="s">
        <v>12</v>
      </c>
      <c r="M823" s="9" t="s">
        <v>12</v>
      </c>
    </row>
    <row r="824">
      <c r="A824" s="4" t="str">
        <f>hyperlink("http://historiamujeres.es/mujers.html#Santiagocapa","Santiago Camacho, Paulina")</f>
        <v>Santiago Camacho, Paulina</v>
      </c>
      <c r="B824" s="1" t="s">
        <v>12</v>
      </c>
      <c r="C824" s="1" t="s">
        <v>12</v>
      </c>
      <c r="D824" s="1" t="s">
        <v>12</v>
      </c>
      <c r="E824" s="1" t="s">
        <v>1458</v>
      </c>
      <c r="F824" s="5">
        <v>1970.0</v>
      </c>
      <c r="G824" s="6" t="s">
        <v>17</v>
      </c>
      <c r="H824" s="1" t="s">
        <v>12</v>
      </c>
      <c r="I824" s="1">
        <v>2003.0</v>
      </c>
      <c r="J824" s="1" t="s">
        <v>1811</v>
      </c>
      <c r="K824" s="1" t="s">
        <v>12</v>
      </c>
      <c r="L824" s="3" t="s">
        <v>12</v>
      </c>
      <c r="M824" s="1" t="s">
        <v>12</v>
      </c>
    </row>
    <row r="825">
      <c r="A825" s="4" t="str">
        <f>hyperlink("http://historiamujeres.es/mujers.html#Santiago ","Santiago Domínguez, Paula")</f>
        <v>Santiago Domínguez, Paula</v>
      </c>
      <c r="B825" s="1" t="s">
        <v>12</v>
      </c>
      <c r="C825" s="1" t="s">
        <v>1812</v>
      </c>
      <c r="D825" s="1" t="s">
        <v>12</v>
      </c>
      <c r="E825" s="1" t="s">
        <v>12</v>
      </c>
      <c r="F825" s="2">
        <v>1942.0</v>
      </c>
      <c r="G825" s="1" t="s">
        <v>12</v>
      </c>
      <c r="H825" s="1" t="s">
        <v>12</v>
      </c>
      <c r="I825" s="1" t="s">
        <v>12</v>
      </c>
      <c r="J825" s="1" t="s">
        <v>59</v>
      </c>
      <c r="K825" s="1" t="s">
        <v>1589</v>
      </c>
      <c r="L825" s="3" t="s">
        <v>12</v>
      </c>
      <c r="M825" s="1" t="s">
        <v>1813</v>
      </c>
    </row>
    <row r="826">
      <c r="A826" s="4" t="str">
        <f>hyperlink("http://historiamujeres.es/mujers.html#Santiagosa","Santiago Salido, Ana")</f>
        <v>Santiago Salido, Ana</v>
      </c>
      <c r="B826" s="1" t="s">
        <v>1814</v>
      </c>
      <c r="C826" s="1" t="s">
        <v>1458</v>
      </c>
      <c r="D826" s="1" t="s">
        <v>12</v>
      </c>
      <c r="E826" s="1" t="s">
        <v>542</v>
      </c>
      <c r="F826" s="2">
        <v>1965.0</v>
      </c>
      <c r="G826" s="1" t="s">
        <v>12</v>
      </c>
      <c r="H826" s="1" t="s">
        <v>12</v>
      </c>
      <c r="I826" s="1" t="s">
        <v>12</v>
      </c>
      <c r="J826" s="1" t="s">
        <v>145</v>
      </c>
      <c r="K826" s="1" t="s">
        <v>12</v>
      </c>
      <c r="L826" s="3" t="s">
        <v>12</v>
      </c>
      <c r="M826" s="1" t="s">
        <v>12</v>
      </c>
    </row>
    <row r="827">
      <c r="A827" s="4" t="str">
        <f>hyperlink("http://historiamujeres.es/mujers.html#Santisima","Santísima Trinidad, Sor María de la.")</f>
        <v>Santísima Trinidad, Sor María de la.</v>
      </c>
      <c r="B827" s="1" t="s">
        <v>12</v>
      </c>
      <c r="C827" s="1" t="s">
        <v>1405</v>
      </c>
      <c r="D827" s="1" t="s">
        <v>12</v>
      </c>
      <c r="E827" s="1" t="s">
        <v>12</v>
      </c>
      <c r="F827" s="2">
        <v>1604.0</v>
      </c>
      <c r="G827" s="1" t="s">
        <v>12</v>
      </c>
      <c r="H827" s="1">
        <v>1660.0</v>
      </c>
      <c r="I827" s="1" t="s">
        <v>12</v>
      </c>
      <c r="J827" s="1" t="s">
        <v>1815</v>
      </c>
      <c r="K827" s="1" t="s">
        <v>113</v>
      </c>
      <c r="L827" s="3" t="s">
        <v>12</v>
      </c>
      <c r="M827" s="1" t="s">
        <v>12</v>
      </c>
    </row>
    <row r="828">
      <c r="A828" s="7" t="str">
        <f>hyperlink("http://historiamujeres.es/vidas/santos-payan-ana.html","Santos Payán, Ana")</f>
        <v>Santos Payán, Ana</v>
      </c>
      <c r="B828" s="8" t="s">
        <v>12</v>
      </c>
      <c r="C828" s="8" t="s">
        <v>1816</v>
      </c>
      <c r="D828" s="8" t="s">
        <v>26</v>
      </c>
      <c r="E828" s="8" t="s">
        <v>12</v>
      </c>
      <c r="F828" s="8">
        <v>1972.0</v>
      </c>
      <c r="H828" s="8">
        <v>2014.0</v>
      </c>
      <c r="I828" s="8" t="s">
        <v>12</v>
      </c>
      <c r="J828" s="8" t="s">
        <v>927</v>
      </c>
      <c r="K828" s="8" t="s">
        <v>12</v>
      </c>
      <c r="L828" s="8" t="s">
        <v>12</v>
      </c>
      <c r="M828" s="8" t="s">
        <v>1817</v>
      </c>
    </row>
    <row r="829">
      <c r="A829" s="4" t="str">
        <f>hyperlink("http://historiamujeres.es/mujers.html#Sanzsamp","Sanz Sampelayo, María Remedios")</f>
        <v>Sanz Sampelayo, María Remedios</v>
      </c>
      <c r="B829" s="1" t="s">
        <v>12</v>
      </c>
      <c r="C829" s="1" t="s">
        <v>30</v>
      </c>
      <c r="D829" s="1" t="s">
        <v>12</v>
      </c>
      <c r="E829" s="1" t="s">
        <v>12</v>
      </c>
      <c r="F829" s="5">
        <v>1945.0</v>
      </c>
      <c r="G829" s="6" t="s">
        <v>17</v>
      </c>
      <c r="H829" s="1" t="s">
        <v>12</v>
      </c>
      <c r="I829" s="1">
        <v>1992.0</v>
      </c>
      <c r="J829" s="1" t="s">
        <v>408</v>
      </c>
      <c r="K829" s="1" t="s">
        <v>12</v>
      </c>
      <c r="L829" s="3" t="s">
        <v>12</v>
      </c>
      <c r="M829" s="1" t="s">
        <v>124</v>
      </c>
    </row>
    <row r="830">
      <c r="A830" s="4" t="str">
        <f>hyperlink("http://historiamujeres.es/mujers.html#Sanz_mar","Sanz, María")</f>
        <v>Sanz, María</v>
      </c>
      <c r="B830" s="1" t="s">
        <v>12</v>
      </c>
      <c r="C830" s="1" t="s">
        <v>27</v>
      </c>
      <c r="D830" s="1" t="s">
        <v>12</v>
      </c>
      <c r="E830" s="1" t="s">
        <v>12</v>
      </c>
      <c r="F830" s="2">
        <v>1956.0</v>
      </c>
      <c r="G830" s="1" t="s">
        <v>12</v>
      </c>
      <c r="H830" s="1" t="s">
        <v>12</v>
      </c>
      <c r="I830" s="1" t="s">
        <v>12</v>
      </c>
      <c r="J830" s="1" t="s">
        <v>216</v>
      </c>
      <c r="K830" s="1" t="s">
        <v>12</v>
      </c>
      <c r="L830" s="3" t="s">
        <v>12</v>
      </c>
      <c r="M830" s="1" t="s">
        <v>12</v>
      </c>
    </row>
    <row r="831">
      <c r="A831" s="4" t="str">
        <f>hyperlink("http://historiamujeres.es/mujers.html#Sara","Sara la Goda")</f>
        <v>Sara la Goda</v>
      </c>
      <c r="B831" s="1" t="s">
        <v>12</v>
      </c>
      <c r="C831" s="1" t="s">
        <v>27</v>
      </c>
      <c r="D831" s="1" t="s">
        <v>12</v>
      </c>
      <c r="E831" s="1" t="s">
        <v>12</v>
      </c>
      <c r="F831" s="5">
        <v>715.0</v>
      </c>
      <c r="G831" s="6" t="s">
        <v>43</v>
      </c>
      <c r="H831" s="6">
        <v>770.0</v>
      </c>
      <c r="I831" s="1">
        <v>755.0</v>
      </c>
      <c r="J831" s="1" t="s">
        <v>1818</v>
      </c>
      <c r="K831" s="1" t="s">
        <v>12</v>
      </c>
      <c r="L831" s="3" t="s">
        <v>12</v>
      </c>
      <c r="M831" s="1" t="s">
        <v>72</v>
      </c>
    </row>
    <row r="832">
      <c r="A832" s="4" t="str">
        <f>hyperlink("http://historiamujeres.es/mujers.html#Sarasquete","Sarasquete Reiriz, María del Carmen")</f>
        <v>Sarasquete Reiriz, María del Carmen</v>
      </c>
      <c r="B832" s="1" t="s">
        <v>12</v>
      </c>
      <c r="C832" s="1" t="s">
        <v>12</v>
      </c>
      <c r="D832" s="1" t="s">
        <v>12</v>
      </c>
      <c r="E832" s="1" t="s">
        <v>205</v>
      </c>
      <c r="F832" s="5">
        <v>1950.0</v>
      </c>
      <c r="G832" s="6" t="s">
        <v>17</v>
      </c>
      <c r="H832" s="1" t="s">
        <v>12</v>
      </c>
      <c r="I832" s="1">
        <v>1995.0</v>
      </c>
      <c r="J832" s="1" t="s">
        <v>1819</v>
      </c>
      <c r="K832" s="1" t="s">
        <v>12</v>
      </c>
      <c r="L832" s="3" t="s">
        <v>12</v>
      </c>
      <c r="M832" s="1" t="s">
        <v>1442</v>
      </c>
    </row>
    <row r="833">
      <c r="A833" s="4" t="str">
        <f>hyperlink("http://historiamujeres.es/mujers.html#Sarraga","Sárraga Hernández, Belén")</f>
        <v>Sárraga Hernández, Belén</v>
      </c>
      <c r="B833" s="9" t="s">
        <v>1820</v>
      </c>
      <c r="C833" s="1" t="s">
        <v>1821</v>
      </c>
      <c r="D833" s="1" t="s">
        <v>1003</v>
      </c>
      <c r="E833" s="1" t="s">
        <v>1822</v>
      </c>
      <c r="F833" s="2">
        <v>1873.0</v>
      </c>
      <c r="G833" s="1" t="s">
        <v>12</v>
      </c>
      <c r="H833" s="9">
        <v>1950.0</v>
      </c>
      <c r="I833" s="1" t="s">
        <v>12</v>
      </c>
      <c r="J833" s="1" t="s">
        <v>1823</v>
      </c>
      <c r="K833" s="1" t="s">
        <v>80</v>
      </c>
      <c r="L833" s="3" t="s">
        <v>1824</v>
      </c>
      <c r="M833" s="1" t="s">
        <v>1825</v>
      </c>
    </row>
    <row r="834">
      <c r="A834" s="4" t="str">
        <f>hyperlink("http://historiamujeres.es/mujers.html#Sauret","Sauret Guerrero, María Teresa")</f>
        <v>Sauret Guerrero, María Teresa</v>
      </c>
      <c r="B834" s="1" t="s">
        <v>12</v>
      </c>
      <c r="C834" s="1" t="s">
        <v>12</v>
      </c>
      <c r="D834" s="1" t="s">
        <v>12</v>
      </c>
      <c r="E834" s="1" t="s">
        <v>988</v>
      </c>
      <c r="F834" s="5">
        <v>1950.0</v>
      </c>
      <c r="G834" s="6" t="s">
        <v>17</v>
      </c>
      <c r="H834" s="1" t="s">
        <v>12</v>
      </c>
      <c r="I834" s="1">
        <v>2000.0</v>
      </c>
      <c r="J834" s="1" t="s">
        <v>305</v>
      </c>
      <c r="K834" s="1" t="s">
        <v>12</v>
      </c>
      <c r="L834" s="3" t="s">
        <v>12</v>
      </c>
      <c r="M834" s="1" t="s">
        <v>320</v>
      </c>
    </row>
    <row r="835">
      <c r="A835" s="4" t="str">
        <f>hyperlink("http://historiamujeres.es/mujers.html#Sayyida","Sayyida al-Hurra bint Mawlay Ali  ibn Rashid")</f>
        <v>Sayyida al-Hurra bint Mawlay Ali  ibn Rashid</v>
      </c>
      <c r="B835" s="1" t="s">
        <v>1826</v>
      </c>
      <c r="C835" s="1" t="s">
        <v>12</v>
      </c>
      <c r="D835" s="1" t="s">
        <v>12</v>
      </c>
      <c r="E835" s="1" t="s">
        <v>1827</v>
      </c>
      <c r="F835" s="5">
        <v>1485.0</v>
      </c>
      <c r="G835" s="6" t="s">
        <v>43</v>
      </c>
      <c r="H835" s="6">
        <v>1550.0</v>
      </c>
      <c r="I835" s="1">
        <v>1512.0</v>
      </c>
      <c r="J835" s="1" t="s">
        <v>1828</v>
      </c>
      <c r="K835" s="1" t="s">
        <v>12</v>
      </c>
      <c r="L835" s="3" t="s">
        <v>12</v>
      </c>
      <c r="M835" s="1" t="s">
        <v>72</v>
      </c>
    </row>
    <row r="836">
      <c r="A836" s="4" t="str">
        <f>hyperlink("http://historiamujeres.es/mujerv.html#von","Scholtz Hermensdorff, Trinidad von ")</f>
        <v>Scholtz Hermensdorff, Trinidad von </v>
      </c>
      <c r="B836" s="1" t="s">
        <v>1829</v>
      </c>
      <c r="C836" s="1" t="s">
        <v>98</v>
      </c>
      <c r="D836" s="1" t="s">
        <v>1830</v>
      </c>
      <c r="E836" s="1" t="s">
        <v>141</v>
      </c>
      <c r="F836" s="2">
        <v>1867.0</v>
      </c>
      <c r="G836" s="1" t="s">
        <v>12</v>
      </c>
      <c r="H836" s="1">
        <v>1937.0</v>
      </c>
      <c r="I836" s="1" t="s">
        <v>12</v>
      </c>
      <c r="J836" s="1" t="s">
        <v>1831</v>
      </c>
      <c r="K836" s="1" t="s">
        <v>1184</v>
      </c>
      <c r="L836" s="3" t="s">
        <v>12</v>
      </c>
      <c r="M836" s="1" t="s">
        <v>1185</v>
      </c>
    </row>
    <row r="837">
      <c r="A837" s="4" t="str">
        <f>hyperlink("http://historiamujeres.es/mujers.html#Segovia","Segovia Morón, María Josefa")</f>
        <v>Segovia Morón, María Josefa</v>
      </c>
      <c r="B837" s="1" t="s">
        <v>12</v>
      </c>
      <c r="C837" s="1" t="s">
        <v>64</v>
      </c>
      <c r="D837" s="1" t="s">
        <v>68</v>
      </c>
      <c r="E837" s="1" t="s">
        <v>12</v>
      </c>
      <c r="F837" s="2">
        <v>1891.0</v>
      </c>
      <c r="G837" s="1" t="s">
        <v>12</v>
      </c>
      <c r="H837" s="1">
        <v>1957.0</v>
      </c>
      <c r="I837" s="1" t="s">
        <v>12</v>
      </c>
      <c r="J837" s="1" t="s">
        <v>1832</v>
      </c>
      <c r="K837" s="1" t="s">
        <v>12</v>
      </c>
      <c r="L837" s="3" t="s">
        <v>12</v>
      </c>
      <c r="M837" s="1" t="s">
        <v>12</v>
      </c>
    </row>
    <row r="838">
      <c r="A838" s="4" t="str">
        <f>hyperlink("http://historiamujeres.es/mujers.html#Segura","Segura Graiño, Cristina")</f>
        <v>Segura Graiño, Cristina</v>
      </c>
      <c r="B838" s="1" t="s">
        <v>12</v>
      </c>
      <c r="C838" s="1" t="s">
        <v>12</v>
      </c>
      <c r="D838" s="1" t="s">
        <v>12</v>
      </c>
      <c r="E838" s="1" t="s">
        <v>1833</v>
      </c>
      <c r="F838" s="5">
        <v>1945.0</v>
      </c>
      <c r="G838" s="6" t="s">
        <v>17</v>
      </c>
      <c r="H838" s="1" t="s">
        <v>12</v>
      </c>
      <c r="I838" s="1">
        <v>1982.0</v>
      </c>
      <c r="J838" s="1" t="s">
        <v>22</v>
      </c>
      <c r="K838" s="1" t="s">
        <v>12</v>
      </c>
      <c r="L838" s="3" t="s">
        <v>12</v>
      </c>
      <c r="M838" s="1" t="s">
        <v>1834</v>
      </c>
    </row>
    <row r="839">
      <c r="A839" s="4" t="str">
        <f>hyperlink("http://historiamujeres.es/mujers.html#Sepulveda","Sepulveda García de la Torre, Pilar")</f>
        <v>Sepulveda García de la Torre, Pilar</v>
      </c>
      <c r="B839" s="1" t="s">
        <v>12</v>
      </c>
      <c r="C839" s="1" t="s">
        <v>12</v>
      </c>
      <c r="D839" s="1" t="s">
        <v>12</v>
      </c>
      <c r="E839" s="1" t="s">
        <v>27</v>
      </c>
      <c r="F839" s="5">
        <v>1955.0</v>
      </c>
      <c r="G839" s="6" t="s">
        <v>17</v>
      </c>
      <c r="H839" s="1" t="s">
        <v>12</v>
      </c>
      <c r="I839" s="1">
        <v>1989.0</v>
      </c>
      <c r="J839" s="1" t="s">
        <v>1835</v>
      </c>
      <c r="K839" s="1" t="s">
        <v>1836</v>
      </c>
      <c r="L839" s="3" t="s">
        <v>12</v>
      </c>
      <c r="M839" s="1" t="s">
        <v>12</v>
      </c>
    </row>
    <row r="840">
      <c r="A840" s="4" t="str">
        <f>hyperlink("http://historiamujeres.es/mujers.html#Serrano","Serrano de Tornel, Emilia")</f>
        <v>Serrano de Tornel, Emilia</v>
      </c>
      <c r="B840" s="1" t="s">
        <v>1837</v>
      </c>
      <c r="C840" s="1" t="s">
        <v>30</v>
      </c>
      <c r="D840" s="1" t="s">
        <v>542</v>
      </c>
      <c r="E840" s="1" t="s">
        <v>12</v>
      </c>
      <c r="F840" s="2">
        <v>1843.0</v>
      </c>
      <c r="G840" s="1" t="s">
        <v>12</v>
      </c>
      <c r="H840" s="1">
        <v>1922.0</v>
      </c>
      <c r="I840" s="1" t="s">
        <v>12</v>
      </c>
      <c r="J840" s="1" t="s">
        <v>113</v>
      </c>
      <c r="K840" s="1" t="s">
        <v>1838</v>
      </c>
      <c r="L840" s="3" t="s">
        <v>12</v>
      </c>
      <c r="M840" s="1" t="s">
        <v>12</v>
      </c>
    </row>
    <row r="841">
      <c r="A841" s="11" t="str">
        <f>hyperlink("http://historiamujeres.es/mujers.html#Serrano_Rod","Serrano Rodríguez, Rafaela")</f>
        <v>Serrano Rodríguez, Rafaela</v>
      </c>
      <c r="B841" s="1" t="s">
        <v>12</v>
      </c>
      <c r="C841" s="8" t="s">
        <v>1839</v>
      </c>
      <c r="D841" s="8" t="s">
        <v>1276</v>
      </c>
      <c r="E841" s="1" t="s">
        <v>12</v>
      </c>
      <c r="F841" s="44">
        <v>1862.0</v>
      </c>
      <c r="G841" s="8" t="s">
        <v>12</v>
      </c>
      <c r="H841" s="8">
        <v>1938.0</v>
      </c>
      <c r="I841" s="1" t="s">
        <v>12</v>
      </c>
      <c r="J841" s="8" t="s">
        <v>669</v>
      </c>
      <c r="K841" s="8"/>
      <c r="L841" s="3" t="s">
        <v>12</v>
      </c>
    </row>
    <row r="842">
      <c r="A842" s="4" t="str">
        <f>hyperlink("http://historiamujeres.es/mujerm.html#Montija","Serrano Ruiz, Dolores")</f>
        <v>Serrano Ruiz, Dolores</v>
      </c>
      <c r="B842" s="1" t="s">
        <v>1840</v>
      </c>
      <c r="C842" s="1" t="s">
        <v>1841</v>
      </c>
      <c r="D842" s="1" t="s">
        <v>12</v>
      </c>
      <c r="E842" s="1" t="s">
        <v>12</v>
      </c>
      <c r="F842" s="2">
        <v>1934.0</v>
      </c>
      <c r="G842" s="1" t="s">
        <v>12</v>
      </c>
      <c r="H842" s="1" t="s">
        <v>12</v>
      </c>
      <c r="I842" s="1" t="s">
        <v>12</v>
      </c>
      <c r="J842" s="1" t="s">
        <v>65</v>
      </c>
      <c r="K842" s="1" t="s">
        <v>12</v>
      </c>
      <c r="L842" s="3" t="s">
        <v>12</v>
      </c>
      <c r="M842" s="1" t="s">
        <v>12</v>
      </c>
    </row>
    <row r="843">
      <c r="A843" s="4" t="str">
        <f>hyperlink("http://historiamujeres.es/mujers.html#Serrano_torres","Serrano y Torres, Sor Maria")</f>
        <v>Serrano y Torres, Sor Maria</v>
      </c>
      <c r="B843" s="1" t="s">
        <v>12</v>
      </c>
      <c r="C843" s="1" t="s">
        <v>1842</v>
      </c>
      <c r="D843" s="1" t="s">
        <v>838</v>
      </c>
      <c r="E843" s="1" t="s">
        <v>12</v>
      </c>
      <c r="F843" s="16">
        <v>1747.0</v>
      </c>
      <c r="G843" s="6" t="s">
        <v>92</v>
      </c>
      <c r="H843" s="6">
        <v>1805.0</v>
      </c>
      <c r="I843" s="1" t="s">
        <v>12</v>
      </c>
      <c r="J843" s="1" t="s">
        <v>1843</v>
      </c>
      <c r="K843" s="1" t="s">
        <v>12</v>
      </c>
      <c r="L843" s="3" t="s">
        <v>12</v>
      </c>
      <c r="M843" s="1" t="s">
        <v>12</v>
      </c>
    </row>
    <row r="844">
      <c r="A844" s="4" t="str">
        <f>hyperlink("http://historiamujeres.es/mujers.html#Sevilla","Sevilla Fernández, Mónica")</f>
        <v>Sevilla Fernández, Mónica</v>
      </c>
      <c r="E844" s="1" t="s">
        <v>30</v>
      </c>
      <c r="F844" s="2">
        <v>1995.0</v>
      </c>
      <c r="J844" s="1" t="s">
        <v>640</v>
      </c>
      <c r="K844" s="1" t="s">
        <v>1844</v>
      </c>
      <c r="L844" s="3"/>
      <c r="M844" s="1" t="s">
        <v>1845</v>
      </c>
    </row>
    <row r="845">
      <c r="A845" s="7" t="str">
        <f>hyperlink("http://historiamujeres.es/mujers.html#Sevilla_salmeron","Sevilla Salmerón, Gloria")</f>
        <v>Sevilla Salmerón, Gloria</v>
      </c>
      <c r="B845" s="62" t="s">
        <v>1846</v>
      </c>
      <c r="C845" s="9" t="s">
        <v>866</v>
      </c>
      <c r="D845" s="9" t="s">
        <v>1847</v>
      </c>
      <c r="E845" s="9" t="s">
        <v>12</v>
      </c>
      <c r="F845" s="42">
        <v>1918.0</v>
      </c>
      <c r="G845" s="9" t="s">
        <v>12</v>
      </c>
      <c r="H845" s="42">
        <v>2016.0</v>
      </c>
      <c r="I845" s="9" t="s">
        <v>12</v>
      </c>
      <c r="J845" s="9" t="s">
        <v>138</v>
      </c>
      <c r="K845" s="9" t="s">
        <v>1848</v>
      </c>
      <c r="L845" s="14" t="s">
        <v>12</v>
      </c>
      <c r="M845" s="9" t="s">
        <v>1849</v>
      </c>
    </row>
    <row r="846">
      <c r="A846" s="4" t="str">
        <f>hyperlink("http://historiamujeres.es/mujers.html#Shams","Shams de Marchena")</f>
        <v>Shams de Marchena</v>
      </c>
      <c r="B846" s="1" t="s">
        <v>1850</v>
      </c>
      <c r="C846" s="1" t="s">
        <v>1851</v>
      </c>
      <c r="D846" s="1" t="s">
        <v>12</v>
      </c>
      <c r="E846" s="1" t="s">
        <v>497</v>
      </c>
      <c r="F846" s="5">
        <v>1005.0</v>
      </c>
      <c r="G846" s="6" t="s">
        <v>43</v>
      </c>
      <c r="H846" s="6">
        <v>1195.0</v>
      </c>
      <c r="I846" s="1">
        <v>1165.0</v>
      </c>
      <c r="J846" s="1" t="s">
        <v>1852</v>
      </c>
      <c r="K846" s="1" t="s">
        <v>12</v>
      </c>
      <c r="L846" s="3" t="s">
        <v>12</v>
      </c>
      <c r="M846" s="1" t="s">
        <v>1853</v>
      </c>
    </row>
    <row r="847">
      <c r="A847" s="4" t="str">
        <f>hyperlink("http://historiamujeres.es/mujers.html#SHEREZAD","Sherezades Andalusies")</f>
        <v>Sherezades Andalusies</v>
      </c>
      <c r="B847" s="1" t="s">
        <v>12</v>
      </c>
      <c r="C847" s="1" t="s">
        <v>12</v>
      </c>
      <c r="D847" s="1" t="s">
        <v>12</v>
      </c>
      <c r="E847" s="1" t="s">
        <v>30</v>
      </c>
      <c r="F847" s="2">
        <v>730.0</v>
      </c>
      <c r="G847" s="1" t="s">
        <v>12</v>
      </c>
      <c r="H847" s="1">
        <v>1300.0</v>
      </c>
      <c r="I847" s="1" t="s">
        <v>12</v>
      </c>
      <c r="J847" s="1" t="s">
        <v>1854</v>
      </c>
      <c r="K847" s="1" t="s">
        <v>12</v>
      </c>
      <c r="L847" s="3" t="s">
        <v>12</v>
      </c>
      <c r="M847" s="1" t="s">
        <v>1855</v>
      </c>
    </row>
    <row r="848">
      <c r="A848" s="4" t="str">
        <f>hyperlink("http://historiamujeres.es/mujers.html#Siervasc","Siervas de Cristo abandonado")</f>
        <v>Siervas de Cristo abandonado</v>
      </c>
      <c r="B848" s="1" t="s">
        <v>12</v>
      </c>
      <c r="C848" s="1" t="s">
        <v>98</v>
      </c>
      <c r="D848" s="1" t="s">
        <v>12</v>
      </c>
      <c r="E848" s="1" t="s">
        <v>12</v>
      </c>
      <c r="F848" s="2">
        <v>1945.0</v>
      </c>
      <c r="G848" s="1" t="s">
        <v>12</v>
      </c>
      <c r="H848" s="1" t="s">
        <v>12</v>
      </c>
      <c r="I848" s="1" t="s">
        <v>12</v>
      </c>
      <c r="J848" s="1" t="s">
        <v>1856</v>
      </c>
      <c r="K848" s="1" t="s">
        <v>12</v>
      </c>
      <c r="L848" s="3" t="s">
        <v>12</v>
      </c>
      <c r="M848" s="1" t="s">
        <v>12</v>
      </c>
    </row>
    <row r="849">
      <c r="A849" s="4" t="str">
        <f>hyperlink("http://historiamujeres.es/mujers.html#Siervasp","Siervas de los pobres")</f>
        <v>Siervas de los pobres</v>
      </c>
      <c r="B849" s="1" t="s">
        <v>12</v>
      </c>
      <c r="C849" s="1" t="s">
        <v>26</v>
      </c>
      <c r="D849" s="1" t="s">
        <v>12</v>
      </c>
      <c r="E849" s="1" t="s">
        <v>12</v>
      </c>
      <c r="F849" s="2">
        <v>1944.0</v>
      </c>
      <c r="G849" s="1" t="s">
        <v>12</v>
      </c>
      <c r="H849" s="1" t="s">
        <v>12</v>
      </c>
      <c r="I849" s="1" t="s">
        <v>12</v>
      </c>
      <c r="J849" s="1" t="s">
        <v>1857</v>
      </c>
      <c r="K849" s="1" t="s">
        <v>12</v>
      </c>
      <c r="L849" s="3" t="s">
        <v>12</v>
      </c>
      <c r="M849" s="1" t="s">
        <v>12</v>
      </c>
    </row>
    <row r="850">
      <c r="A850" s="4" t="str">
        <f>hyperlink("http://historiamujeres.es/mujers.html#Siervase","Siervas del Evangelio")</f>
        <v>Siervas del Evangelio</v>
      </c>
      <c r="B850" s="1" t="s">
        <v>12</v>
      </c>
      <c r="C850" s="1" t="s">
        <v>30</v>
      </c>
      <c r="D850" s="1" t="s">
        <v>12</v>
      </c>
      <c r="E850" s="1" t="s">
        <v>12</v>
      </c>
      <c r="F850" s="2">
        <v>1945.0</v>
      </c>
      <c r="G850" s="1" t="s">
        <v>12</v>
      </c>
      <c r="H850" s="1" t="s">
        <v>12</v>
      </c>
      <c r="I850" s="1" t="s">
        <v>12</v>
      </c>
      <c r="J850" s="1" t="s">
        <v>1858</v>
      </c>
      <c r="K850" s="1" t="s">
        <v>12</v>
      </c>
      <c r="L850" s="3" t="s">
        <v>12</v>
      </c>
      <c r="M850" s="1" t="s">
        <v>12</v>
      </c>
    </row>
    <row r="851">
      <c r="A851" s="4" t="str">
        <f>hyperlink("http://historiamujeres.es/mujers.html#Silva","Silva Cruz, María")</f>
        <v>Silva Cruz, María</v>
      </c>
      <c r="B851" s="1" t="s">
        <v>1859</v>
      </c>
      <c r="C851" s="1" t="s">
        <v>1860</v>
      </c>
      <c r="D851" s="1" t="s">
        <v>1861</v>
      </c>
      <c r="E851" s="1" t="s">
        <v>12</v>
      </c>
      <c r="F851" s="2">
        <v>1917.0</v>
      </c>
      <c r="G851" s="1" t="s">
        <v>12</v>
      </c>
      <c r="H851" s="1">
        <v>1936.0</v>
      </c>
      <c r="I851" s="1" t="s">
        <v>12</v>
      </c>
      <c r="J851" s="1" t="s">
        <v>1862</v>
      </c>
      <c r="K851" s="1" t="s">
        <v>1863</v>
      </c>
      <c r="L851" s="3" t="s">
        <v>12</v>
      </c>
      <c r="M851" s="1" t="s">
        <v>1864</v>
      </c>
    </row>
    <row r="852">
      <c r="A852" s="4" t="str">
        <f>hyperlink("http://historiamujeres.es/mujerr.html#Revuelo","Silva Esteban, Juana")</f>
        <v>Silva Esteban, Juana</v>
      </c>
      <c r="B852" s="1" t="s">
        <v>1865</v>
      </c>
      <c r="C852" s="1" t="s">
        <v>27</v>
      </c>
      <c r="D852" s="1" t="s">
        <v>12</v>
      </c>
      <c r="E852" s="1" t="s">
        <v>12</v>
      </c>
      <c r="F852" s="2">
        <v>1952.0</v>
      </c>
      <c r="G852" s="1" t="s">
        <v>12</v>
      </c>
      <c r="H852" s="1" t="s">
        <v>12</v>
      </c>
      <c r="I852" s="1" t="s">
        <v>12</v>
      </c>
      <c r="J852" s="1" t="s">
        <v>1866</v>
      </c>
      <c r="K852" s="1" t="s">
        <v>12</v>
      </c>
      <c r="L852" s="3" t="s">
        <v>12</v>
      </c>
      <c r="M852" s="1" t="s">
        <v>12</v>
      </c>
    </row>
    <row r="853">
      <c r="A853" s="4" t="str">
        <f>hyperlink("http://historiamujeres.es/mujers.html#Silva_Maria_del_Carmen","Silva, María del Carmen")</f>
        <v>Silva, María del Carmen</v>
      </c>
      <c r="B853" s="1" t="s">
        <v>12</v>
      </c>
      <c r="C853" s="1" t="s">
        <v>932</v>
      </c>
      <c r="D853" s="1" t="s">
        <v>1867</v>
      </c>
      <c r="E853" s="1" t="s">
        <v>205</v>
      </c>
      <c r="F853" s="5">
        <v>1780.0</v>
      </c>
      <c r="G853" s="6" t="s">
        <v>43</v>
      </c>
      <c r="H853" s="6">
        <v>1840.0</v>
      </c>
      <c r="I853" s="1">
        <v>1811.0</v>
      </c>
      <c r="J853" s="1" t="s">
        <v>1868</v>
      </c>
      <c r="K853" s="1" t="s">
        <v>508</v>
      </c>
      <c r="L853" s="3" t="s">
        <v>12</v>
      </c>
      <c r="M853" s="1" t="s">
        <v>1869</v>
      </c>
    </row>
    <row r="854">
      <c r="A854" s="4" t="str">
        <f>hyperlink("http://historiamujeres.es/mujers.html#Sirvientas","Sirvientas de Cazalla de la Sierra")</f>
        <v>Sirvientas de Cazalla de la Sierra</v>
      </c>
      <c r="B854" s="1" t="s">
        <v>12</v>
      </c>
      <c r="C854" s="1" t="s">
        <v>1870</v>
      </c>
      <c r="D854" s="1" t="s">
        <v>1871</v>
      </c>
      <c r="E854" s="1" t="s">
        <v>201</v>
      </c>
      <c r="F854" s="5">
        <v>1900.0</v>
      </c>
      <c r="G854" s="6" t="s">
        <v>17</v>
      </c>
      <c r="H854" s="1">
        <v>1936.0</v>
      </c>
      <c r="I854" s="1" t="s">
        <v>12</v>
      </c>
      <c r="J854" s="1" t="s">
        <v>1872</v>
      </c>
      <c r="K854" s="1" t="s">
        <v>1370</v>
      </c>
      <c r="L854" s="3" t="s">
        <v>1711</v>
      </c>
      <c r="M854" s="1" t="s">
        <v>12</v>
      </c>
    </row>
    <row r="855">
      <c r="A855" s="7" t="str">
        <f>hyperlink("http://historiamujeres.es/mujers.html#Sirvientas_almeria","Sirvientas Jóvenes en Almería desde 1908")</f>
        <v>Sirvientas Jóvenes en Almería desde 1908</v>
      </c>
      <c r="B855" s="9" t="s">
        <v>12</v>
      </c>
      <c r="C855" s="9" t="s">
        <v>26</v>
      </c>
      <c r="D855" s="9" t="s">
        <v>12</v>
      </c>
      <c r="E855" s="9" t="s">
        <v>12</v>
      </c>
      <c r="F855" s="15">
        <v>1908.0</v>
      </c>
      <c r="G855" s="13" t="s">
        <v>92</v>
      </c>
      <c r="H855" s="13">
        <v>1980.0</v>
      </c>
      <c r="I855" s="9" t="s">
        <v>12</v>
      </c>
      <c r="J855" s="9" t="s">
        <v>1872</v>
      </c>
      <c r="K855" s="9" t="s">
        <v>12</v>
      </c>
      <c r="L855" s="19" t="s">
        <v>12</v>
      </c>
      <c r="M855" s="9" t="s">
        <v>1873</v>
      </c>
    </row>
    <row r="856">
      <c r="A856" s="4" t="str">
        <f>hyperlink("http://historiamujeres.es/mujers.html#Sociedad_de_Senoras","Sociedad de Señoras de Fernando VII")</f>
        <v>Sociedad de Señoras de Fernando VII</v>
      </c>
      <c r="B856" s="1" t="s">
        <v>12</v>
      </c>
      <c r="C856" s="1" t="s">
        <v>205</v>
      </c>
      <c r="D856" s="1" t="s">
        <v>205</v>
      </c>
      <c r="E856" s="1" t="s">
        <v>12</v>
      </c>
      <c r="F856" s="2">
        <v>1811.0</v>
      </c>
      <c r="G856" s="1" t="s">
        <v>12</v>
      </c>
      <c r="H856" s="1">
        <v>1815.0</v>
      </c>
      <c r="I856" s="1" t="s">
        <v>12</v>
      </c>
      <c r="J856" s="1" t="s">
        <v>1874</v>
      </c>
      <c r="K856" s="1" t="s">
        <v>1875</v>
      </c>
      <c r="L856" s="3" t="s">
        <v>12</v>
      </c>
      <c r="M856" s="1" t="s">
        <v>12</v>
      </c>
    </row>
    <row r="857">
      <c r="A857" s="4" t="str">
        <f>hyperlink("http://historiamujeres.es/mujers.html#Sociedad_prog_barcelona","Sociedad Progresiva Femenina, Barcelona")</f>
        <v>Sociedad Progresiva Femenina, Barcelona</v>
      </c>
      <c r="B857" s="1" t="s">
        <v>12</v>
      </c>
      <c r="C857" s="1" t="s">
        <v>542</v>
      </c>
      <c r="D857" s="1" t="s">
        <v>542</v>
      </c>
      <c r="E857" s="1" t="s">
        <v>12</v>
      </c>
      <c r="F857" s="2">
        <v>1898.0</v>
      </c>
      <c r="G857" s="17" t="s">
        <v>12</v>
      </c>
      <c r="H857" s="17" t="s">
        <v>12</v>
      </c>
      <c r="I857" s="1" t="s">
        <v>12</v>
      </c>
      <c r="J857" s="1" t="s">
        <v>179</v>
      </c>
      <c r="K857" s="1" t="s">
        <v>1876</v>
      </c>
      <c r="L857" s="3" t="s">
        <v>12</v>
      </c>
      <c r="M857" s="1" t="s">
        <v>1877</v>
      </c>
    </row>
    <row r="858">
      <c r="A858" s="4" t="str">
        <f>hyperlink("http://historiamujeres.es/mujers.html#Sociedad_progr_malaga","Sociedad Progresiva Femenina, Málaga")</f>
        <v>Sociedad Progresiva Femenina, Málaga</v>
      </c>
      <c r="B858" s="1" t="s">
        <v>12</v>
      </c>
      <c r="C858" s="1" t="s">
        <v>98</v>
      </c>
      <c r="D858" s="1" t="s">
        <v>98</v>
      </c>
      <c r="E858" s="1" t="s">
        <v>12</v>
      </c>
      <c r="F858" s="2">
        <v>1900.0</v>
      </c>
      <c r="H858" s="1">
        <v>1907.0</v>
      </c>
      <c r="I858" s="1" t="s">
        <v>12</v>
      </c>
      <c r="J858" s="1" t="s">
        <v>179</v>
      </c>
      <c r="K858" s="1" t="s">
        <v>180</v>
      </c>
      <c r="L858" s="3" t="s">
        <v>12</v>
      </c>
      <c r="M858" s="1" t="s">
        <v>12</v>
      </c>
    </row>
    <row r="859">
      <c r="A859" s="4" t="str">
        <f>hyperlink("http://historiamujeres.es/mujers.html#SORIANO","Soriano Boliva, Inmaculada")</f>
        <v>Soriano Boliva, Inmaculada</v>
      </c>
      <c r="B859" s="1" t="s">
        <v>1878</v>
      </c>
      <c r="C859" s="1" t="s">
        <v>1879</v>
      </c>
      <c r="D859" s="1" t="s">
        <v>12</v>
      </c>
      <c r="E859" s="1" t="s">
        <v>12</v>
      </c>
      <c r="F859" s="2">
        <v>1963.0</v>
      </c>
      <c r="G859" s="1" t="s">
        <v>12</v>
      </c>
      <c r="H859" s="1" t="s">
        <v>12</v>
      </c>
      <c r="I859" s="1" t="s">
        <v>12</v>
      </c>
      <c r="J859" s="1" t="s">
        <v>1880</v>
      </c>
      <c r="K859" s="1" t="s">
        <v>12</v>
      </c>
      <c r="L859" s="3" t="s">
        <v>12</v>
      </c>
      <c r="M859" s="1" t="s">
        <v>12</v>
      </c>
    </row>
    <row r="860">
      <c r="A860" s="4" t="str">
        <f>hyperlink("http://historiamujeres.es/mujers.html#Soto","Soto Corro y González. Carolina de")</f>
        <v>Soto Corro y González. Carolina de</v>
      </c>
      <c r="B860" s="1" t="s">
        <v>1881</v>
      </c>
      <c r="C860" s="1" t="s">
        <v>27</v>
      </c>
      <c r="D860" s="1" t="s">
        <v>12</v>
      </c>
      <c r="E860" s="1" t="s">
        <v>262</v>
      </c>
      <c r="F860" s="16">
        <v>1869.0</v>
      </c>
      <c r="G860" s="6" t="s">
        <v>92</v>
      </c>
      <c r="H860" s="6">
        <v>1925.0</v>
      </c>
      <c r="I860" s="1" t="s">
        <v>12</v>
      </c>
      <c r="J860" s="1" t="s">
        <v>1882</v>
      </c>
      <c r="K860" s="1" t="s">
        <v>1883</v>
      </c>
      <c r="L860" s="3" t="s">
        <v>12</v>
      </c>
      <c r="M860" s="1" t="s">
        <v>12</v>
      </c>
    </row>
    <row r="861">
      <c r="A861" s="4" t="str">
        <f>hyperlink("http://historiamujeres.es/mujert.html#Tomasaso","Soto Díaz, Tomasa")</f>
        <v>Soto Díaz, Tomasa</v>
      </c>
      <c r="B861" s="1" t="s">
        <v>1884</v>
      </c>
      <c r="C861" s="1" t="s">
        <v>27</v>
      </c>
      <c r="D861" s="1" t="s">
        <v>12</v>
      </c>
      <c r="E861" s="1" t="s">
        <v>12</v>
      </c>
      <c r="F861" s="2">
        <v>1926.0</v>
      </c>
      <c r="G861" s="1" t="s">
        <v>12</v>
      </c>
      <c r="H861" s="1" t="s">
        <v>12</v>
      </c>
      <c r="I861" s="1" t="s">
        <v>12</v>
      </c>
      <c r="J861" s="1" t="s">
        <v>69</v>
      </c>
      <c r="K861" s="1" t="s">
        <v>12</v>
      </c>
      <c r="L861" s="3" t="s">
        <v>12</v>
      </c>
      <c r="M861" s="1" t="s">
        <v>12</v>
      </c>
    </row>
    <row r="862">
      <c r="A862" s="4" t="str">
        <f>hyperlink("http://historiamujeres.es/mujers.html#Subh","Subh umm Walad")</f>
        <v>Subh umm Walad</v>
      </c>
      <c r="B862" s="1" t="s">
        <v>12</v>
      </c>
      <c r="C862" s="1" t="s">
        <v>1390</v>
      </c>
      <c r="D862" s="1" t="s">
        <v>12</v>
      </c>
      <c r="E862" s="1" t="s">
        <v>24</v>
      </c>
      <c r="F862" s="5">
        <v>935.0</v>
      </c>
      <c r="G862" s="6" t="s">
        <v>43</v>
      </c>
      <c r="H862" s="6">
        <v>1005.0</v>
      </c>
      <c r="I862" s="1">
        <v>964.0</v>
      </c>
      <c r="J862" s="1" t="s">
        <v>1885</v>
      </c>
      <c r="K862" s="1" t="s">
        <v>12</v>
      </c>
      <c r="L862" s="3" t="s">
        <v>12</v>
      </c>
      <c r="M862" s="1" t="s">
        <v>1886</v>
      </c>
    </row>
    <row r="863">
      <c r="A863" s="4" t="str">
        <f>hyperlink("http://historiamujeres.es/mujers.html#Suson","Susón, Susana ben")</f>
        <v>Susón, Susana ben</v>
      </c>
      <c r="B863" s="1" t="s">
        <v>1887</v>
      </c>
      <c r="C863" s="1" t="s">
        <v>27</v>
      </c>
      <c r="D863" s="1" t="s">
        <v>27</v>
      </c>
      <c r="E863" s="1" t="s">
        <v>12</v>
      </c>
      <c r="F863" s="5">
        <v>1460.0</v>
      </c>
      <c r="G863" s="6" t="s">
        <v>43</v>
      </c>
      <c r="H863" s="6">
        <v>1520.0</v>
      </c>
      <c r="I863" s="1">
        <v>1481.0</v>
      </c>
      <c r="J863" s="1" t="s">
        <v>1888</v>
      </c>
      <c r="K863" s="1" t="s">
        <v>1889</v>
      </c>
      <c r="L863" s="3" t="s">
        <v>12</v>
      </c>
      <c r="M863" s="1" t="s">
        <v>12</v>
      </c>
    </row>
    <row r="864">
      <c r="A864" s="4" t="str">
        <f>hyperlink("http://historiamujeres.es/mujert.html#Talens","Talens-Péri, Pauline")</f>
        <v>Talens-Péri, Pauline</v>
      </c>
      <c r="B864" s="1" t="s">
        <v>12</v>
      </c>
      <c r="C864" s="1" t="s">
        <v>26</v>
      </c>
      <c r="D864" s="1" t="s">
        <v>12</v>
      </c>
      <c r="E864" s="1" t="s">
        <v>12</v>
      </c>
      <c r="F864" s="2">
        <v>1937.0</v>
      </c>
      <c r="G864" s="1" t="s">
        <v>12</v>
      </c>
      <c r="J864" s="1" t="s">
        <v>113</v>
      </c>
      <c r="K864" s="1" t="s">
        <v>1890</v>
      </c>
      <c r="L864" s="3" t="s">
        <v>1891</v>
      </c>
      <c r="M864" s="1" t="s">
        <v>1892</v>
      </c>
    </row>
    <row r="865">
      <c r="A865" s="4" t="str">
        <f>hyperlink("http://historiamujeres.es/mujert.html#TAMAYO","Tamayo Hernández, Consuelo")</f>
        <v>Tamayo Hernández, Consuelo</v>
      </c>
      <c r="B865" s="1" t="s">
        <v>1893</v>
      </c>
      <c r="C865" s="1" t="s">
        <v>1894</v>
      </c>
      <c r="D865" s="1" t="s">
        <v>1894</v>
      </c>
      <c r="E865" s="1" t="s">
        <v>12</v>
      </c>
      <c r="F865" s="2">
        <v>1867.0</v>
      </c>
      <c r="G865" s="1" t="s">
        <v>12</v>
      </c>
      <c r="H865" s="1">
        <v>1957.0</v>
      </c>
      <c r="I865" s="1" t="s">
        <v>12</v>
      </c>
      <c r="J865" s="1" t="s">
        <v>1895</v>
      </c>
      <c r="K865" s="1" t="s">
        <v>12</v>
      </c>
      <c r="L865" s="3" t="s">
        <v>12</v>
      </c>
      <c r="M865" s="1" t="s">
        <v>1896</v>
      </c>
    </row>
    <row r="866">
      <c r="A866" s="4" t="str">
        <f>hyperlink("http://historiamujeres.es/mujert.html#Tanit","Tanit")</f>
        <v>Tanit</v>
      </c>
      <c r="B866" s="1" t="s">
        <v>12</v>
      </c>
      <c r="C866" s="1" t="s">
        <v>1897</v>
      </c>
      <c r="D866" s="1" t="s">
        <v>12</v>
      </c>
      <c r="E866" s="1" t="s">
        <v>1898</v>
      </c>
      <c r="F866" s="5">
        <v>-600.0</v>
      </c>
      <c r="G866" s="6" t="s">
        <v>17</v>
      </c>
      <c r="H866" s="1" t="s">
        <v>12</v>
      </c>
      <c r="I866" s="1" t="s">
        <v>12</v>
      </c>
      <c r="J866" s="1" t="s">
        <v>1899</v>
      </c>
      <c r="K866" s="1" t="s">
        <v>12</v>
      </c>
      <c r="L866" s="3" t="s">
        <v>12</v>
      </c>
      <c r="M866" s="1" t="s">
        <v>12</v>
      </c>
    </row>
    <row r="867">
      <c r="A867" s="4" t="str">
        <f>hyperlink("http://historiamujeres.es/mujert.html#Taro","Taro, Gerda")</f>
        <v>Taro, Gerda</v>
      </c>
      <c r="B867" s="1" t="s">
        <v>1900</v>
      </c>
      <c r="C867" s="1" t="s">
        <v>1901</v>
      </c>
      <c r="D867" s="1" t="s">
        <v>1902</v>
      </c>
      <c r="E867" s="1" t="s">
        <v>1903</v>
      </c>
      <c r="F867" s="2">
        <v>1910.0</v>
      </c>
      <c r="G867" s="1" t="s">
        <v>12</v>
      </c>
      <c r="H867" s="1">
        <v>1937.0</v>
      </c>
      <c r="J867" s="1" t="s">
        <v>811</v>
      </c>
      <c r="K867" s="1" t="s">
        <v>904</v>
      </c>
      <c r="L867" s="3" t="s">
        <v>12</v>
      </c>
      <c r="M867" s="1" t="s">
        <v>1904</v>
      </c>
    </row>
    <row r="868">
      <c r="A868" s="4" t="str">
        <f>hyperlink("http://historiamujeres.es/mujert.html#Tartessos","Tartessos, Mujeres de")</f>
        <v>Tartessos, Mujeres de</v>
      </c>
      <c r="C868" s="1" t="s">
        <v>1905</v>
      </c>
      <c r="E868" s="1" t="s">
        <v>879</v>
      </c>
      <c r="F868" s="2">
        <v>-675.0</v>
      </c>
      <c r="G868" s="1" t="s">
        <v>17</v>
      </c>
      <c r="H868" s="1" t="s">
        <v>92</v>
      </c>
      <c r="I868" s="1">
        <v>-500.0</v>
      </c>
      <c r="J868" s="1" t="s">
        <v>463</v>
      </c>
      <c r="K868" s="1" t="s">
        <v>1906</v>
      </c>
      <c r="L868" s="3"/>
    </row>
    <row r="869">
      <c r="A869" s="4" t="str">
        <f>hyperlink("http://historiamujeres.es/mujert.html#Taurinya","Taurinya, Pauline")</f>
        <v>Taurinya, Pauline</v>
      </c>
      <c r="B869" s="1" t="s">
        <v>1907</v>
      </c>
      <c r="C869" s="1" t="s">
        <v>1908</v>
      </c>
      <c r="D869" s="1" t="s">
        <v>457</v>
      </c>
      <c r="E869" s="1" t="s">
        <v>26</v>
      </c>
      <c r="F869" s="2">
        <v>1898.0</v>
      </c>
      <c r="G869" s="1" t="s">
        <v>12</v>
      </c>
      <c r="H869" s="1">
        <v>1993.0</v>
      </c>
      <c r="J869" s="1" t="s">
        <v>1091</v>
      </c>
      <c r="K869" s="1" t="s">
        <v>1909</v>
      </c>
      <c r="L869" s="3" t="s">
        <v>1910</v>
      </c>
      <c r="M869" s="1" t="s">
        <v>1911</v>
      </c>
    </row>
    <row r="870">
      <c r="A870" s="4" t="str">
        <f>hyperlink("http://historiamujeres.es/mujert.html#Tavora","Tavora, Pilar")</f>
        <v>Tavora, Pilar</v>
      </c>
      <c r="B870" s="1" t="s">
        <v>12</v>
      </c>
      <c r="C870" s="1" t="s">
        <v>1912</v>
      </c>
      <c r="D870" s="1" t="s">
        <v>12</v>
      </c>
      <c r="E870" s="1" t="s">
        <v>12</v>
      </c>
      <c r="F870" s="27">
        <v>1959.0</v>
      </c>
      <c r="G870" s="25" t="s">
        <v>12</v>
      </c>
      <c r="H870" s="1" t="s">
        <v>12</v>
      </c>
      <c r="I870" s="9" t="s">
        <v>12</v>
      </c>
      <c r="J870" s="1" t="s">
        <v>1913</v>
      </c>
      <c r="K870" s="1" t="s">
        <v>12</v>
      </c>
      <c r="L870" s="3" t="s">
        <v>12</v>
      </c>
      <c r="M870" s="9" t="s">
        <v>1914</v>
      </c>
    </row>
    <row r="871">
      <c r="A871" s="4" t="str">
        <f>hyperlink("http://historiamujeres.es/mujert.html#Tejedor","Tejedor Huerta, Olvido")</f>
        <v>Tejedor Huerta, Olvido</v>
      </c>
      <c r="B871" s="1" t="s">
        <v>12</v>
      </c>
      <c r="C871" s="1" t="s">
        <v>1915</v>
      </c>
      <c r="D871" s="1" t="s">
        <v>12</v>
      </c>
      <c r="E871" s="1" t="s">
        <v>1357</v>
      </c>
      <c r="F871" s="2">
        <v>1967.0</v>
      </c>
      <c r="G871" s="1" t="s">
        <v>12</v>
      </c>
      <c r="H871" s="1" t="s">
        <v>12</v>
      </c>
      <c r="I871" s="1" t="s">
        <v>12</v>
      </c>
      <c r="J871" s="1" t="s">
        <v>408</v>
      </c>
      <c r="K871" s="1" t="s">
        <v>1916</v>
      </c>
      <c r="L871" s="3" t="s">
        <v>12</v>
      </c>
      <c r="M871" s="1" t="s">
        <v>320</v>
      </c>
    </row>
    <row r="872">
      <c r="A872" s="4" t="str">
        <f>hyperlink("http://historiamujeres.es/mujert#Tejerina","Tejerina Hernández, Ascensión")</f>
        <v>Tejerina Hernández, Ascensión</v>
      </c>
      <c r="B872" s="1" t="s">
        <v>12</v>
      </c>
      <c r="C872" s="1" t="s">
        <v>1263</v>
      </c>
      <c r="D872" s="1" t="s">
        <v>12</v>
      </c>
      <c r="E872" s="1" t="s">
        <v>27</v>
      </c>
      <c r="F872" s="2">
        <v>1955.0</v>
      </c>
      <c r="G872" s="1" t="s">
        <v>12</v>
      </c>
      <c r="H872" s="1" t="s">
        <v>12</v>
      </c>
      <c r="I872" s="1" t="s">
        <v>12</v>
      </c>
      <c r="J872" s="1" t="s">
        <v>373</v>
      </c>
      <c r="K872" s="1" t="s">
        <v>12</v>
      </c>
      <c r="L872" s="3" t="s">
        <v>12</v>
      </c>
      <c r="M872" s="1" t="s">
        <v>1917</v>
      </c>
    </row>
    <row r="873">
      <c r="A873" s="4" t="str">
        <f>hyperlink("http://historiamujeres.es/mujert.html#Teletusa","Teletusa")</f>
        <v>Teletusa</v>
      </c>
      <c r="B873" s="1" t="s">
        <v>12</v>
      </c>
      <c r="C873" s="1" t="s">
        <v>1597</v>
      </c>
      <c r="D873" s="1" t="s">
        <v>12</v>
      </c>
      <c r="E873" s="1" t="s">
        <v>206</v>
      </c>
      <c r="F873" s="5">
        <v>50.0</v>
      </c>
      <c r="G873" s="6" t="s">
        <v>43</v>
      </c>
      <c r="H873" s="6">
        <v>100.0</v>
      </c>
      <c r="I873" s="1" t="s">
        <v>12</v>
      </c>
      <c r="J873" s="1" t="s">
        <v>207</v>
      </c>
      <c r="K873" s="1" t="s">
        <v>12</v>
      </c>
      <c r="L873" s="3" t="s">
        <v>12</v>
      </c>
      <c r="M873" s="1" t="s">
        <v>1598</v>
      </c>
    </row>
    <row r="874">
      <c r="A874" s="4" t="str">
        <f>hyperlink("http://historiamujeres.es/mujert.html#Terciaria","Terciarias Carmelitas del Sagrado Corazón")</f>
        <v>Terciarias Carmelitas del Sagrado Corazón</v>
      </c>
      <c r="B874" s="1" t="s">
        <v>12</v>
      </c>
      <c r="C874" s="1" t="s">
        <v>98</v>
      </c>
      <c r="D874" s="1" t="s">
        <v>12</v>
      </c>
      <c r="E874" s="1" t="s">
        <v>14</v>
      </c>
      <c r="F874" s="2">
        <v>1924.0</v>
      </c>
      <c r="G874" s="1" t="s">
        <v>12</v>
      </c>
      <c r="H874" s="1" t="s">
        <v>12</v>
      </c>
      <c r="I874" s="1" t="s">
        <v>12</v>
      </c>
      <c r="J874" s="1" t="s">
        <v>1918</v>
      </c>
      <c r="K874" s="1" t="s">
        <v>12</v>
      </c>
      <c r="L874" s="3" t="s">
        <v>12</v>
      </c>
      <c r="M874" s="1" t="s">
        <v>12</v>
      </c>
    </row>
    <row r="875">
      <c r="A875" s="4" t="str">
        <f>hyperlink("http://historiamujeres.es/mujert.html#Teresa","Teresa de la Concepción")</f>
        <v>Teresa de la Concepción</v>
      </c>
      <c r="C875" s="1" t="s">
        <v>197</v>
      </c>
      <c r="F875" s="2">
        <v>1561.0</v>
      </c>
      <c r="G875" s="1" t="s">
        <v>12</v>
      </c>
      <c r="H875" s="1" t="s">
        <v>12</v>
      </c>
      <c r="I875" s="1" t="s">
        <v>12</v>
      </c>
      <c r="J875" s="1" t="s">
        <v>154</v>
      </c>
      <c r="K875" s="1" t="s">
        <v>1919</v>
      </c>
      <c r="L875" s="3"/>
      <c r="M875" s="1" t="s">
        <v>1920</v>
      </c>
    </row>
    <row r="876">
      <c r="A876" s="4" t="str">
        <f>hyperlink("http://historiamujeres.es/mujert.html#Tomas","Tomás Montero,  Josefa")</f>
        <v>Tomás Montero,  Josefa</v>
      </c>
      <c r="B876" s="1" t="s">
        <v>1921</v>
      </c>
      <c r="C876" s="1" t="s">
        <v>1922</v>
      </c>
      <c r="D876" s="1" t="s">
        <v>283</v>
      </c>
      <c r="E876" s="1" t="s">
        <v>12</v>
      </c>
      <c r="F876" s="2">
        <v>1924.0</v>
      </c>
      <c r="G876" s="1" t="s">
        <v>12</v>
      </c>
      <c r="H876" s="1">
        <v>2006.0</v>
      </c>
      <c r="I876" s="1" t="s">
        <v>12</v>
      </c>
      <c r="J876" s="1" t="s">
        <v>187</v>
      </c>
      <c r="K876" s="1" t="s">
        <v>12</v>
      </c>
      <c r="L876" s="3" t="s">
        <v>12</v>
      </c>
      <c r="M876" s="1" t="s">
        <v>1923</v>
      </c>
    </row>
    <row r="877">
      <c r="A877" s="4" t="str">
        <f>hyperlink("http://historiamujeres.es/mujert.html#Torralbo","Torralbo Belmonte, Catalina")</f>
        <v>Torralbo Belmonte, Catalina</v>
      </c>
      <c r="B877" s="1" t="s">
        <v>12</v>
      </c>
      <c r="C877" s="1" t="s">
        <v>1924</v>
      </c>
      <c r="D877" s="1" t="s">
        <v>12</v>
      </c>
      <c r="E877" s="1" t="s">
        <v>12</v>
      </c>
      <c r="F877" s="5">
        <v>1910.0</v>
      </c>
      <c r="G877" s="6" t="s">
        <v>43</v>
      </c>
      <c r="H877" s="6">
        <v>1970.0</v>
      </c>
      <c r="I877" s="1">
        <v>1944.0</v>
      </c>
      <c r="J877" s="1" t="s">
        <v>1925</v>
      </c>
      <c r="K877" s="1" t="s">
        <v>1926</v>
      </c>
      <c r="L877" s="3" t="s">
        <v>12</v>
      </c>
      <c r="M877" s="1" t="s">
        <v>1927</v>
      </c>
    </row>
    <row r="878">
      <c r="A878" s="4" t="str">
        <f>hyperlink("http://historiamujeres.es/mujert.html#Torralbo","Torralbo Belmonte, María")</f>
        <v>Torralbo Belmonte, María</v>
      </c>
      <c r="B878" s="1" t="s">
        <v>12</v>
      </c>
      <c r="C878" s="1" t="s">
        <v>1924</v>
      </c>
      <c r="D878" s="1" t="s">
        <v>64</v>
      </c>
      <c r="E878" s="1" t="s">
        <v>12</v>
      </c>
      <c r="F878" s="5">
        <v>1910.0</v>
      </c>
      <c r="G878" s="6" t="s">
        <v>17</v>
      </c>
      <c r="H878" s="17">
        <v>1944.0</v>
      </c>
      <c r="I878" s="1" t="s">
        <v>12</v>
      </c>
      <c r="J878" s="1" t="s">
        <v>1928</v>
      </c>
      <c r="K878" s="1" t="s">
        <v>1929</v>
      </c>
      <c r="L878" s="3" t="s">
        <v>12</v>
      </c>
      <c r="M878" s="1" t="s">
        <v>12</v>
      </c>
    </row>
    <row r="879">
      <c r="A879" s="4" t="str">
        <f>hyperlink("http://historiamujeres.es/mujert.html#Torres_Fer","Torres Fernández, Francisca")</f>
        <v>Torres Fernández, Francisca</v>
      </c>
      <c r="B879" s="1" t="s">
        <v>12</v>
      </c>
      <c r="C879" s="1" t="s">
        <v>12</v>
      </c>
      <c r="D879" s="1" t="s">
        <v>205</v>
      </c>
      <c r="E879" s="1" t="s">
        <v>12</v>
      </c>
      <c r="F879" s="16">
        <v>1916.0</v>
      </c>
      <c r="G879" s="17" t="s">
        <v>12</v>
      </c>
      <c r="H879" s="1">
        <v>1936.0</v>
      </c>
      <c r="I879" s="1" t="s">
        <v>12</v>
      </c>
      <c r="J879" s="1" t="s">
        <v>299</v>
      </c>
      <c r="K879" s="1" t="s">
        <v>300</v>
      </c>
      <c r="L879" s="3" t="s">
        <v>301</v>
      </c>
      <c r="M879" s="1" t="s">
        <v>12</v>
      </c>
    </row>
    <row r="880">
      <c r="A880" s="4" t="str">
        <f>hyperlink("http://historiamujeres.es/mujert.html#Torres_","Torres Moreno, Montse")</f>
        <v>Torres Moreno, Montse</v>
      </c>
      <c r="B880" s="1" t="s">
        <v>12</v>
      </c>
      <c r="C880" s="1" t="s">
        <v>12</v>
      </c>
      <c r="D880" s="1" t="s">
        <v>12</v>
      </c>
      <c r="E880" s="1" t="s">
        <v>988</v>
      </c>
      <c r="F880" s="5">
        <v>1960.0</v>
      </c>
      <c r="G880" s="6" t="s">
        <v>17</v>
      </c>
      <c r="H880" s="1" t="s">
        <v>12</v>
      </c>
      <c r="I880" s="1">
        <v>2006.0</v>
      </c>
      <c r="J880" s="1" t="s">
        <v>1930</v>
      </c>
      <c r="K880" s="1" t="s">
        <v>12</v>
      </c>
      <c r="L880" s="3" t="s">
        <v>12</v>
      </c>
      <c r="M880" s="1" t="s">
        <v>1931</v>
      </c>
    </row>
    <row r="881">
      <c r="A881" s="4" t="str">
        <f>hyperlink("http://historiamujeres.es/mujert.html#Torres_Porras","Torres Porras, Flor de")</f>
        <v>Torres Porras, Flor de</v>
      </c>
      <c r="B881" s="1" t="s">
        <v>12</v>
      </c>
      <c r="C881" s="1" t="s">
        <v>26</v>
      </c>
      <c r="D881" s="1" t="s">
        <v>12</v>
      </c>
      <c r="E881" s="1" t="s">
        <v>12</v>
      </c>
      <c r="F881" s="2">
        <v>1961.0</v>
      </c>
      <c r="G881" s="1" t="s">
        <v>12</v>
      </c>
      <c r="H881" s="1" t="s">
        <v>12</v>
      </c>
      <c r="I881" s="1" t="s">
        <v>12</v>
      </c>
      <c r="J881" s="1" t="s">
        <v>1677</v>
      </c>
      <c r="K881" s="1" t="s">
        <v>625</v>
      </c>
      <c r="L881" s="3" t="s">
        <v>12</v>
      </c>
      <c r="M881" s="1" t="s">
        <v>220</v>
      </c>
    </row>
    <row r="882">
      <c r="A882" s="4" t="str">
        <f>hyperlink("http://historiamujeres.es/mujert.html#Torres_ra","Torres Ramírez, Isabel de")</f>
        <v>Torres Ramírez, Isabel de</v>
      </c>
      <c r="B882" s="1" t="s">
        <v>12</v>
      </c>
      <c r="C882" s="1" t="s">
        <v>1932</v>
      </c>
      <c r="D882" s="1" t="s">
        <v>1933</v>
      </c>
      <c r="E882" s="1" t="s">
        <v>30</v>
      </c>
      <c r="F882" s="2">
        <v>1946.0</v>
      </c>
      <c r="G882" s="1" t="s">
        <v>12</v>
      </c>
      <c r="H882" s="1">
        <v>2006.0</v>
      </c>
      <c r="I882" s="1" t="s">
        <v>12</v>
      </c>
      <c r="J882" s="1" t="s">
        <v>1934</v>
      </c>
      <c r="K882" s="1" t="s">
        <v>1935</v>
      </c>
      <c r="L882" s="3" t="s">
        <v>12</v>
      </c>
      <c r="M882" s="1" t="s">
        <v>12</v>
      </c>
    </row>
    <row r="883">
      <c r="A883" s="4" t="str">
        <f>hyperlink("http://historiamujeres.es/mujert.html#Torres","Torres y Rodríguez de Galvez, María de los Dolores")</f>
        <v>Torres y Rodríguez de Galvez, María de los Dolores</v>
      </c>
      <c r="B883" s="1" t="s">
        <v>1936</v>
      </c>
      <c r="C883" s="1" t="s">
        <v>64</v>
      </c>
      <c r="D883" s="1" t="s">
        <v>64</v>
      </c>
      <c r="E883" s="1" t="s">
        <v>12</v>
      </c>
      <c r="F883" s="2">
        <v>1901.0</v>
      </c>
      <c r="G883" s="1" t="s">
        <v>12</v>
      </c>
      <c r="H883" s="1">
        <v>1968.0</v>
      </c>
      <c r="I883" s="1" t="s">
        <v>12</v>
      </c>
      <c r="J883" s="1" t="s">
        <v>1937</v>
      </c>
      <c r="K883" s="1" t="s">
        <v>1938</v>
      </c>
      <c r="L883" s="3" t="s">
        <v>12</v>
      </c>
      <c r="M883" s="1" t="s">
        <v>12</v>
      </c>
    </row>
    <row r="884">
      <c r="A884" s="4" t="str">
        <f>hyperlink("http://historiamujeres.es/mujert.html#Torres_c","Torres, Carmen de")</f>
        <v>Torres, Carmen de</v>
      </c>
      <c r="B884" s="1" t="s">
        <v>12</v>
      </c>
      <c r="C884" s="1" t="s">
        <v>27</v>
      </c>
      <c r="D884" s="1" t="s">
        <v>12</v>
      </c>
      <c r="E884" s="1" t="s">
        <v>12</v>
      </c>
      <c r="F884" s="5">
        <v>1965.0</v>
      </c>
      <c r="G884" s="6" t="s">
        <v>17</v>
      </c>
      <c r="H884" s="1" t="s">
        <v>12</v>
      </c>
      <c r="I884" s="1" t="s">
        <v>12</v>
      </c>
      <c r="J884" s="1" t="s">
        <v>145</v>
      </c>
      <c r="K884" s="1" t="s">
        <v>12</v>
      </c>
      <c r="L884" s="3" t="s">
        <v>12</v>
      </c>
      <c r="M884" s="1" t="s">
        <v>12</v>
      </c>
    </row>
    <row r="885">
      <c r="A885" s="4" t="str">
        <f>hyperlink("http://www.historiamujeres.es/mujera.html#Abrucena","Torres, Lourdes")</f>
        <v>Torres, Lourdes</v>
      </c>
      <c r="B885" s="1" t="s">
        <v>1939</v>
      </c>
      <c r="C885" s="1" t="s">
        <v>13</v>
      </c>
      <c r="D885" s="1" t="s">
        <v>12</v>
      </c>
      <c r="E885" s="1" t="s">
        <v>12</v>
      </c>
      <c r="F885" s="5">
        <v>1940.0</v>
      </c>
      <c r="G885" s="6" t="s">
        <v>17</v>
      </c>
      <c r="H885" s="1" t="s">
        <v>12</v>
      </c>
      <c r="I885" s="1">
        <v>2003.0</v>
      </c>
      <c r="J885" s="1" t="s">
        <v>1940</v>
      </c>
      <c r="K885" s="1" t="s">
        <v>12</v>
      </c>
      <c r="L885" s="3" t="s">
        <v>12</v>
      </c>
      <c r="M885" s="1" t="s">
        <v>196</v>
      </c>
    </row>
    <row r="886">
      <c r="A886" s="7" t="str">
        <f>hyperlink("http://historiamujeres.es/mujert.html#Tortosa","Tortosa Martínez, Carmen")</f>
        <v>Tortosa Martínez, Carmen</v>
      </c>
      <c r="B886" s="9" t="s">
        <v>12</v>
      </c>
      <c r="C886" s="9" t="s">
        <v>864</v>
      </c>
      <c r="D886" s="9" t="s">
        <v>1276</v>
      </c>
      <c r="E886" s="9" t="s">
        <v>1941</v>
      </c>
      <c r="F886" s="15">
        <v>1920.0</v>
      </c>
      <c r="G886" s="13" t="s">
        <v>92</v>
      </c>
      <c r="H886" s="13">
        <v>2005.0</v>
      </c>
      <c r="I886" s="9" t="s">
        <v>12</v>
      </c>
      <c r="J886" s="9" t="s">
        <v>1091</v>
      </c>
      <c r="K886" s="9" t="s">
        <v>126</v>
      </c>
      <c r="L886" s="14" t="s">
        <v>12</v>
      </c>
      <c r="M886" s="9" t="s">
        <v>1942</v>
      </c>
    </row>
    <row r="887">
      <c r="A887" s="4" t="str">
        <f>hyperlink("http://historiamujeres.es/mujert.html#Trella","Trella Vida, Carmen")</f>
        <v>Trella Vida, Carmen</v>
      </c>
      <c r="B887" s="1" t="s">
        <v>12</v>
      </c>
      <c r="C887" s="1" t="s">
        <v>1943</v>
      </c>
      <c r="D887" s="1" t="s">
        <v>98</v>
      </c>
      <c r="E887" s="1" t="s">
        <v>12</v>
      </c>
      <c r="F887" s="2">
        <v>1968.0</v>
      </c>
      <c r="G887" s="1" t="s">
        <v>12</v>
      </c>
      <c r="H887" s="1" t="s">
        <v>12</v>
      </c>
      <c r="I887" s="1" t="s">
        <v>12</v>
      </c>
      <c r="J887" s="1" t="s">
        <v>113</v>
      </c>
      <c r="K887" s="1" t="s">
        <v>1944</v>
      </c>
      <c r="L887" s="3" t="s">
        <v>12</v>
      </c>
      <c r="M887" s="1" t="s">
        <v>12</v>
      </c>
    </row>
    <row r="888">
      <c r="A888" s="4" t="str">
        <f>hyperlink("http://historiamujeres.es/mujert.html#Troughton","Troughton, Blanca")</f>
        <v>Troughton, Blanca</v>
      </c>
      <c r="B888" s="1" t="s">
        <v>12</v>
      </c>
      <c r="C888" s="1" t="s">
        <v>98</v>
      </c>
      <c r="D888" s="1" t="s">
        <v>12</v>
      </c>
      <c r="E888" s="1" t="s">
        <v>12</v>
      </c>
      <c r="F888" s="2">
        <v>1961.0</v>
      </c>
      <c r="G888" s="1" t="s">
        <v>12</v>
      </c>
      <c r="H888" s="1" t="s">
        <v>12</v>
      </c>
      <c r="I888" s="1" t="s">
        <v>12</v>
      </c>
      <c r="J888" s="1" t="s">
        <v>640</v>
      </c>
      <c r="K888" s="1" t="s">
        <v>12</v>
      </c>
      <c r="L888" s="3" t="s">
        <v>12</v>
      </c>
      <c r="M888" s="1" t="s">
        <v>12</v>
      </c>
    </row>
    <row r="889">
      <c r="A889" s="11" t="str">
        <f>hyperlink("http://historiamujeres.es/mujeru.html#Ubeda","Ubeda Gómez, Carmen")</f>
        <v>Ubeda Gómez, Carmen</v>
      </c>
      <c r="B889" s="9" t="s">
        <v>1945</v>
      </c>
      <c r="C889" s="9" t="s">
        <v>1946</v>
      </c>
      <c r="D889" s="9" t="s">
        <v>542</v>
      </c>
      <c r="E889" s="9" t="s">
        <v>12</v>
      </c>
      <c r="F889" s="15">
        <v>1904.0</v>
      </c>
      <c r="G889" s="13" t="s">
        <v>92</v>
      </c>
      <c r="H889" s="9" t="s">
        <v>12</v>
      </c>
      <c r="I889" s="1"/>
      <c r="J889" s="9" t="s">
        <v>1947</v>
      </c>
      <c r="K889" s="9" t="s">
        <v>590</v>
      </c>
      <c r="L889" s="14" t="s">
        <v>1948</v>
      </c>
      <c r="M889" s="9" t="s">
        <v>1949</v>
      </c>
    </row>
    <row r="890">
      <c r="A890" s="4" t="str">
        <f>hyperlink("http://historiamujeres.es/mujeru.html#Uceda","Uceda Valiente, Julia")</f>
        <v>Uceda Valiente, Julia</v>
      </c>
      <c r="B890" s="1" t="s">
        <v>12</v>
      </c>
      <c r="C890" s="1" t="s">
        <v>27</v>
      </c>
      <c r="D890" s="1" t="s">
        <v>12</v>
      </c>
      <c r="E890" s="1" t="s">
        <v>12</v>
      </c>
      <c r="F890" s="1">
        <v>1931.0</v>
      </c>
      <c r="G890" s="1" t="s">
        <v>12</v>
      </c>
      <c r="H890" s="1" t="s">
        <v>12</v>
      </c>
      <c r="I890" s="1" t="s">
        <v>12</v>
      </c>
      <c r="J890" s="1" t="s">
        <v>70</v>
      </c>
      <c r="K890" s="1" t="s">
        <v>1950</v>
      </c>
      <c r="L890" s="3" t="s">
        <v>12</v>
      </c>
      <c r="M890" s="1" t="s">
        <v>36</v>
      </c>
    </row>
    <row r="891">
      <c r="A891" s="4" t="str">
        <f>hyperlink("http://historiamujeres.es/mujeru.html#Ugarte","Ugarte Barrientos, Josefa")</f>
        <v>Ugarte Barrientos, Josefa</v>
      </c>
      <c r="B891" s="1" t="s">
        <v>1951</v>
      </c>
      <c r="C891" s="1" t="s">
        <v>98</v>
      </c>
      <c r="D891" s="1" t="s">
        <v>98</v>
      </c>
      <c r="E891" s="1" t="s">
        <v>12</v>
      </c>
      <c r="F891" s="2">
        <v>1854.0</v>
      </c>
      <c r="G891" s="1" t="s">
        <v>12</v>
      </c>
      <c r="H891" s="1">
        <v>1891.0</v>
      </c>
      <c r="I891" s="1" t="s">
        <v>12</v>
      </c>
      <c r="J891" s="1" t="s">
        <v>1952</v>
      </c>
      <c r="K891" s="1" t="s">
        <v>1953</v>
      </c>
      <c r="L891" s="3" t="s">
        <v>12</v>
      </c>
      <c r="M891" s="1" t="s">
        <v>12</v>
      </c>
    </row>
    <row r="892">
      <c r="A892" s="4" t="str">
        <f>hyperlink("http://historiamujeres.es/mujeru.html#Ulloa_del_Castillo","Ulloa del Castillo, María Francisca")</f>
        <v>Ulloa del Castillo, María Francisca</v>
      </c>
      <c r="B892" s="1" t="s">
        <v>12</v>
      </c>
      <c r="C892" s="1" t="s">
        <v>684</v>
      </c>
      <c r="D892" s="1" t="s">
        <v>1954</v>
      </c>
      <c r="E892" s="1" t="s">
        <v>12</v>
      </c>
      <c r="F892" s="2">
        <v>1887.0</v>
      </c>
      <c r="G892" s="1" t="s">
        <v>12</v>
      </c>
      <c r="H892" s="1">
        <v>1967.0</v>
      </c>
      <c r="I892" s="1" t="s">
        <v>12</v>
      </c>
      <c r="J892" s="1" t="s">
        <v>1955</v>
      </c>
      <c r="K892" s="1" t="s">
        <v>12</v>
      </c>
      <c r="L892" s="3" t="s">
        <v>12</v>
      </c>
      <c r="M892" s="1" t="s">
        <v>12</v>
      </c>
    </row>
    <row r="893">
      <c r="A893" s="4" t="str">
        <f>hyperlink("http://historiamujeres.es/mujeru.html#Urrutia","Urrutia de Urmeneta, Anda Gertrudis")</f>
        <v>Urrutia de Urmeneta, Anda Gertrudis</v>
      </c>
      <c r="B893" s="1" t="s">
        <v>12</v>
      </c>
      <c r="C893" s="1" t="s">
        <v>205</v>
      </c>
      <c r="D893" s="1" t="s">
        <v>205</v>
      </c>
      <c r="E893" s="1" t="s">
        <v>12</v>
      </c>
      <c r="F893" s="2">
        <v>1812.0</v>
      </c>
      <c r="G893" s="1" t="s">
        <v>12</v>
      </c>
      <c r="H893" s="1">
        <v>1850.0</v>
      </c>
      <c r="I893" s="1" t="s">
        <v>12</v>
      </c>
      <c r="J893" s="1" t="s">
        <v>65</v>
      </c>
      <c r="K893" s="1" t="s">
        <v>12</v>
      </c>
      <c r="L893" s="3" t="s">
        <v>12</v>
      </c>
      <c r="M893" s="1" t="s">
        <v>1231</v>
      </c>
    </row>
    <row r="894">
      <c r="A894" s="4" t="str">
        <f>hyperlink("http://historiamujeres.es/mujers.html#Serrana ","Valencia Rodríguez, María de los Dolores")</f>
        <v>Valencia Rodríguez, María de los Dolores</v>
      </c>
      <c r="B894" s="1" t="s">
        <v>1956</v>
      </c>
      <c r="C894" s="1" t="s">
        <v>262</v>
      </c>
      <c r="D894" s="1" t="s">
        <v>12</v>
      </c>
      <c r="E894" s="1" t="s">
        <v>12</v>
      </c>
      <c r="F894" s="5">
        <v>1868.0</v>
      </c>
      <c r="G894" s="6" t="s">
        <v>43</v>
      </c>
      <c r="H894" s="6">
        <v>1925.0</v>
      </c>
      <c r="I894" s="1">
        <v>1900.0</v>
      </c>
      <c r="J894" s="1" t="s">
        <v>69</v>
      </c>
      <c r="K894" s="1" t="s">
        <v>12</v>
      </c>
      <c r="L894" s="3" t="s">
        <v>12</v>
      </c>
      <c r="M894" s="1" t="s">
        <v>12</v>
      </c>
    </row>
    <row r="895">
      <c r="A895" s="4" t="str">
        <f>hyperlink("http://historiamujeres.es/mujerv.html#Valera_Muela_Pura","Valera Muela, Pura")</f>
        <v>Valera Muela, Pura</v>
      </c>
      <c r="B895" s="1" t="s">
        <v>12</v>
      </c>
      <c r="C895" s="1" t="s">
        <v>1039</v>
      </c>
      <c r="D895" s="1" t="s">
        <v>12</v>
      </c>
      <c r="E895" s="1" t="s">
        <v>30</v>
      </c>
      <c r="F895" s="5">
        <v>1950.0</v>
      </c>
      <c r="G895" s="6" t="s">
        <v>17</v>
      </c>
      <c r="H895" s="1" t="s">
        <v>12</v>
      </c>
      <c r="I895" s="1">
        <v>1998.0</v>
      </c>
      <c r="J895" s="1" t="s">
        <v>1957</v>
      </c>
      <c r="K895" s="1" t="s">
        <v>12</v>
      </c>
      <c r="L895" s="3" t="s">
        <v>12</v>
      </c>
      <c r="M895" s="1" t="s">
        <v>12</v>
      </c>
    </row>
    <row r="896">
      <c r="A896" s="4" t="str">
        <f>hyperlink("http://www.historiamujeres.es/mujera.html#Alejandra","Vanessa, Alejandra")</f>
        <v>Vanessa, Alejandra</v>
      </c>
      <c r="B896" s="1" t="s">
        <v>12</v>
      </c>
      <c r="C896" s="1" t="s">
        <v>24</v>
      </c>
      <c r="D896" s="1" t="s">
        <v>12</v>
      </c>
      <c r="E896" s="1" t="s">
        <v>12</v>
      </c>
      <c r="F896" s="2">
        <v>1981.0</v>
      </c>
      <c r="G896" s="1" t="s">
        <v>12</v>
      </c>
      <c r="H896" s="1" t="s">
        <v>12</v>
      </c>
      <c r="I896" s="1" t="s">
        <v>12</v>
      </c>
      <c r="J896" s="1" t="s">
        <v>73</v>
      </c>
      <c r="K896" s="1" t="s">
        <v>12</v>
      </c>
      <c r="L896" s="3" t="s">
        <v>12</v>
      </c>
      <c r="M896" s="1" t="s">
        <v>12</v>
      </c>
    </row>
    <row r="897">
      <c r="A897" s="4" t="str">
        <f>hyperlink("http://historiamujeres.es/mujerv.html#Vargas","Vargas Fernández , María")</f>
        <v>Vargas Fernández , María</v>
      </c>
      <c r="B897" s="1" t="s">
        <v>12</v>
      </c>
      <c r="C897" s="1" t="s">
        <v>1537</v>
      </c>
      <c r="D897" s="1" t="s">
        <v>12</v>
      </c>
      <c r="E897" s="1" t="s">
        <v>12</v>
      </c>
      <c r="F897" s="2">
        <v>1947.0</v>
      </c>
      <c r="G897" s="1" t="s">
        <v>12</v>
      </c>
      <c r="H897" s="1" t="s">
        <v>12</v>
      </c>
      <c r="I897" s="1" t="s">
        <v>12</v>
      </c>
      <c r="J897" s="1" t="s">
        <v>69</v>
      </c>
      <c r="K897" s="1" t="s">
        <v>12</v>
      </c>
      <c r="L897" s="3" t="s">
        <v>12</v>
      </c>
      <c r="M897" s="1" t="s">
        <v>12</v>
      </c>
    </row>
    <row r="898">
      <c r="A898" s="4" t="str">
        <f>hyperlink("http://historiamujeres.es/mujerm.html#MARIAmi","Vargas, Ana María ")</f>
        <v>Vargas, Ana María </v>
      </c>
      <c r="B898" s="1" t="s">
        <v>1958</v>
      </c>
      <c r="C898" s="1" t="s">
        <v>1959</v>
      </c>
      <c r="D898" s="1" t="s">
        <v>12</v>
      </c>
      <c r="E898" s="1" t="s">
        <v>12</v>
      </c>
      <c r="F898" s="5">
        <v>1820.0</v>
      </c>
      <c r="G898" s="6" t="s">
        <v>43</v>
      </c>
      <c r="H898" s="6">
        <v>1880.0</v>
      </c>
      <c r="I898" s="1" t="s">
        <v>12</v>
      </c>
      <c r="J898" s="1" t="s">
        <v>69</v>
      </c>
      <c r="K898" s="1" t="s">
        <v>12</v>
      </c>
      <c r="L898" s="3" t="s">
        <v>12</v>
      </c>
      <c r="M898" s="1" t="s">
        <v>12</v>
      </c>
    </row>
    <row r="899">
      <c r="A899" s="4" t="str">
        <f>hyperlink("http://historiamujeres.es/mujera.html#Aurora","Vargas, Aurora")</f>
        <v>Vargas, Aurora</v>
      </c>
      <c r="B899" s="1" t="s">
        <v>1960</v>
      </c>
      <c r="C899" s="1" t="s">
        <v>27</v>
      </c>
      <c r="D899" s="1" t="s">
        <v>12</v>
      </c>
      <c r="E899" s="1" t="s">
        <v>12</v>
      </c>
      <c r="F899" s="2">
        <v>1956.0</v>
      </c>
      <c r="G899" s="1" t="s">
        <v>12</v>
      </c>
      <c r="H899" s="1" t="s">
        <v>12</v>
      </c>
      <c r="I899" s="1" t="s">
        <v>12</v>
      </c>
      <c r="J899" s="1" t="s">
        <v>69</v>
      </c>
      <c r="K899" s="1" t="s">
        <v>12</v>
      </c>
      <c r="L899" s="3" t="s">
        <v>12</v>
      </c>
      <c r="M899" s="1" t="s">
        <v>12</v>
      </c>
    </row>
    <row r="900">
      <c r="A900" s="4" t="str">
        <f>hyperlink("http://historiamujeres.es/mujerv.html#Varo","Varo  Atalaya, María Sierra")</f>
        <v>Varo  Atalaya, María Sierra</v>
      </c>
      <c r="B900" s="1" t="s">
        <v>12</v>
      </c>
      <c r="C900" s="1" t="s">
        <v>24</v>
      </c>
      <c r="D900" s="1" t="s">
        <v>12</v>
      </c>
      <c r="E900" s="1" t="s">
        <v>12</v>
      </c>
      <c r="F900" s="2">
        <v>1953.0</v>
      </c>
      <c r="G900" s="1" t="s">
        <v>12</v>
      </c>
      <c r="H900" s="1" t="s">
        <v>12</v>
      </c>
      <c r="I900" s="1" t="s">
        <v>12</v>
      </c>
      <c r="J900" s="1" t="s">
        <v>70</v>
      </c>
      <c r="K900" s="1" t="s">
        <v>12</v>
      </c>
      <c r="L900" s="3" t="s">
        <v>12</v>
      </c>
      <c r="M900" s="1" t="s">
        <v>12</v>
      </c>
    </row>
    <row r="901">
      <c r="A901" s="4" t="str">
        <f>hyperlink("http://historiamujeres.es/mujerv.html#VazquezA","Vázquez Angulo, María del Rosario")</f>
        <v>Vázquez Angulo, María del Rosario</v>
      </c>
      <c r="B901" s="1" t="s">
        <v>12</v>
      </c>
      <c r="C901" s="1" t="s">
        <v>24</v>
      </c>
      <c r="D901" s="1" t="s">
        <v>24</v>
      </c>
      <c r="E901" s="1" t="s">
        <v>12</v>
      </c>
      <c r="F901" s="2">
        <v>1829.0</v>
      </c>
      <c r="G901" s="1" t="s">
        <v>12</v>
      </c>
      <c r="H901" s="1">
        <v>1915.0</v>
      </c>
      <c r="I901" s="1" t="s">
        <v>12</v>
      </c>
      <c r="J901" s="1" t="s">
        <v>1961</v>
      </c>
      <c r="K901" s="1" t="s">
        <v>1962</v>
      </c>
      <c r="L901" s="3" t="s">
        <v>12</v>
      </c>
      <c r="M901" s="1" t="s">
        <v>1963</v>
      </c>
    </row>
    <row r="902">
      <c r="A902" s="4" t="str">
        <f>hyperlink("http://historiamujeres.es/mujerv.html#VazquezV","Vázquez Vicente, Teresa")</f>
        <v>Vázquez Vicente, Teresa</v>
      </c>
      <c r="B902" s="1" t="s">
        <v>12</v>
      </c>
      <c r="C902" s="1" t="s">
        <v>1696</v>
      </c>
      <c r="D902" s="1" t="s">
        <v>12</v>
      </c>
      <c r="E902" s="1" t="s">
        <v>1964</v>
      </c>
      <c r="F902" s="2">
        <v>1954.0</v>
      </c>
      <c r="G902" s="1" t="s">
        <v>12</v>
      </c>
      <c r="H902" s="1" t="s">
        <v>12</v>
      </c>
      <c r="I902" s="1" t="s">
        <v>12</v>
      </c>
      <c r="J902" s="1" t="s">
        <v>1310</v>
      </c>
      <c r="K902" s="1" t="s">
        <v>1965</v>
      </c>
      <c r="L902" s="3" t="s">
        <v>12</v>
      </c>
      <c r="M902" s="1" t="s">
        <v>1966</v>
      </c>
    </row>
    <row r="903">
      <c r="A903" s="11" t="str">
        <f>hyperlink("http://historiamujeres.es/mujerv.html#vega","Vega Álvarez, Ana")</f>
        <v>Vega Álvarez, Ana</v>
      </c>
      <c r="B903" s="1"/>
      <c r="C903" s="9" t="s">
        <v>1967</v>
      </c>
      <c r="D903" s="9" t="s">
        <v>1968</v>
      </c>
      <c r="E903" s="9" t="s">
        <v>12</v>
      </c>
      <c r="F903" s="9">
        <v>1916.0</v>
      </c>
      <c r="G903" s="1"/>
      <c r="H903" s="9">
        <v>2017.0</v>
      </c>
      <c r="I903" s="1"/>
      <c r="J903" s="9" t="s">
        <v>760</v>
      </c>
      <c r="K903" s="9" t="s">
        <v>1969</v>
      </c>
      <c r="L903" s="14" t="s">
        <v>1970</v>
      </c>
      <c r="M903" s="9" t="s">
        <v>12</v>
      </c>
    </row>
    <row r="904">
      <c r="A904" s="4" t="str">
        <f>hyperlink("http://historiamujeres.es/mujerv.html#Vela","Vela, Patricia")</f>
        <v>Vela, Patricia</v>
      </c>
      <c r="B904" s="1" t="s">
        <v>12</v>
      </c>
      <c r="C904" s="1" t="s">
        <v>1971</v>
      </c>
      <c r="D904" s="1" t="s">
        <v>12</v>
      </c>
      <c r="E904" s="1" t="s">
        <v>1972</v>
      </c>
      <c r="F904" s="5">
        <v>1965.0</v>
      </c>
      <c r="G904" s="6" t="s">
        <v>17</v>
      </c>
      <c r="H904" s="1" t="s">
        <v>12</v>
      </c>
      <c r="I904" s="1">
        <v>1984.0</v>
      </c>
      <c r="J904" s="1" t="s">
        <v>1973</v>
      </c>
      <c r="K904" s="1" t="s">
        <v>12</v>
      </c>
      <c r="L904" s="3" t="s">
        <v>12</v>
      </c>
      <c r="M904" s="1" t="s">
        <v>12</v>
      </c>
    </row>
    <row r="905">
      <c r="A905" s="4" t="str">
        <f>hyperlink("http://historiamujeres.es/mujerv.html#Velasco","Velasco y Aranaz, Pilar")</f>
        <v>Velasco y Aranaz, Pilar</v>
      </c>
      <c r="B905" s="1" t="s">
        <v>12</v>
      </c>
      <c r="C905" s="1" t="s">
        <v>27</v>
      </c>
      <c r="D905" s="1" t="s">
        <v>12</v>
      </c>
      <c r="E905" s="1" t="s">
        <v>12</v>
      </c>
      <c r="F905" s="16">
        <v>1883.0</v>
      </c>
      <c r="G905" s="6" t="s">
        <v>92</v>
      </c>
      <c r="H905" s="63">
        <v>1940.0</v>
      </c>
      <c r="I905" s="1" t="s">
        <v>12</v>
      </c>
      <c r="J905" s="1" t="s">
        <v>113</v>
      </c>
      <c r="K905" s="1" t="s">
        <v>1974</v>
      </c>
      <c r="L905" s="3" t="s">
        <v>12</v>
      </c>
      <c r="M905" s="1" t="s">
        <v>12</v>
      </c>
    </row>
    <row r="906">
      <c r="A906" s="4" t="str">
        <f>hyperlink("http://historiamujeres.es/mujerv.html#VelascoMar","Velasco, Mar")</f>
        <v>Velasco, Mar</v>
      </c>
      <c r="B906" s="1" t="s">
        <v>12</v>
      </c>
      <c r="C906" s="1" t="s">
        <v>1385</v>
      </c>
      <c r="D906" s="1" t="s">
        <v>12</v>
      </c>
      <c r="E906" s="1" t="s">
        <v>12</v>
      </c>
      <c r="F906" s="5">
        <v>1960.0</v>
      </c>
      <c r="G906" s="6" t="s">
        <v>17</v>
      </c>
      <c r="H906" s="1" t="s">
        <v>12</v>
      </c>
      <c r="I906" s="1">
        <v>1991.0</v>
      </c>
      <c r="J906" s="1" t="s">
        <v>1975</v>
      </c>
      <c r="K906" s="1" t="s">
        <v>12</v>
      </c>
      <c r="L906" s="3" t="s">
        <v>12</v>
      </c>
      <c r="M906" s="1" t="s">
        <v>12</v>
      </c>
    </row>
    <row r="907">
      <c r="A907" s="4" t="str">
        <f>hyperlink("http://historiamujeres.es/mujerv.html#Velilla","Velilla, Mercedes")</f>
        <v>Velilla, Mercedes</v>
      </c>
      <c r="B907" s="1" t="s">
        <v>12</v>
      </c>
      <c r="C907" s="1" t="s">
        <v>27</v>
      </c>
      <c r="D907" s="1" t="s">
        <v>27</v>
      </c>
      <c r="E907" s="1" t="s">
        <v>12</v>
      </c>
      <c r="F907" s="2">
        <v>1852.0</v>
      </c>
      <c r="G907" s="1" t="s">
        <v>12</v>
      </c>
      <c r="H907" s="1">
        <v>1918.0</v>
      </c>
      <c r="I907" s="1" t="s">
        <v>12</v>
      </c>
      <c r="J907" s="1" t="s">
        <v>1976</v>
      </c>
      <c r="K907" s="1" t="s">
        <v>12</v>
      </c>
      <c r="L907" s="3" t="s">
        <v>12</v>
      </c>
      <c r="M907" s="1" t="s">
        <v>12</v>
      </c>
    </row>
    <row r="908">
      <c r="A908" s="7" t="str">
        <f>hyperlink("http://historiamujeres.es/mujerv.html#Vera","Vera en el siglo XX, 16 madres de")</f>
        <v>Vera en el siglo XX, 16 madres de</v>
      </c>
      <c r="B908" s="9" t="s">
        <v>12</v>
      </c>
      <c r="C908" s="9" t="s">
        <v>136</v>
      </c>
      <c r="D908" s="9" t="s">
        <v>12</v>
      </c>
      <c r="E908" s="9" t="s">
        <v>12</v>
      </c>
      <c r="F908" s="12">
        <v>1950.0</v>
      </c>
      <c r="G908" s="13" t="s">
        <v>17</v>
      </c>
      <c r="H908" s="9" t="s">
        <v>12</v>
      </c>
      <c r="I908" s="9">
        <v>2015.0</v>
      </c>
      <c r="J908" s="9" t="s">
        <v>1977</v>
      </c>
      <c r="K908" s="9" t="s">
        <v>12</v>
      </c>
      <c r="L908" s="19" t="s">
        <v>12</v>
      </c>
      <c r="M908" s="9" t="s">
        <v>1978</v>
      </c>
    </row>
    <row r="909">
      <c r="A909" s="7" t="str">
        <f>hyperlink("http://historiamujeres.es/mujerv.html#Vera_Gordo","Vera Gordo, Sagrario")</f>
        <v>Vera Gordo, Sagrario</v>
      </c>
      <c r="B909" s="8" t="s">
        <v>12</v>
      </c>
      <c r="C909" s="8" t="s">
        <v>1979</v>
      </c>
      <c r="D909" s="8" t="s">
        <v>1980</v>
      </c>
      <c r="E909" s="8" t="s">
        <v>12</v>
      </c>
      <c r="F909" s="8">
        <v>1920.0</v>
      </c>
      <c r="G909" s="8" t="s">
        <v>12</v>
      </c>
      <c r="H909" s="8">
        <v>1945.0</v>
      </c>
      <c r="I909" s="8" t="s">
        <v>12</v>
      </c>
      <c r="J909" s="8" t="s">
        <v>1981</v>
      </c>
      <c r="K909" s="8" t="s">
        <v>520</v>
      </c>
      <c r="L909" s="8" t="s">
        <v>1982</v>
      </c>
      <c r="M909" s="8" t="s">
        <v>1983</v>
      </c>
    </row>
    <row r="910">
      <c r="A910" s="24" t="s">
        <v>1984</v>
      </c>
      <c r="B910" s="9" t="s">
        <v>12</v>
      </c>
      <c r="C910" s="9" t="s">
        <v>27</v>
      </c>
      <c r="D910" s="9" t="s">
        <v>12</v>
      </c>
      <c r="E910" s="9" t="s">
        <v>12</v>
      </c>
      <c r="F910" s="13">
        <v>1955.0</v>
      </c>
      <c r="G910" s="13" t="s">
        <v>17</v>
      </c>
      <c r="H910" s="9" t="s">
        <v>12</v>
      </c>
      <c r="I910" s="9" t="s">
        <v>12</v>
      </c>
      <c r="J910" s="1" t="s">
        <v>1266</v>
      </c>
      <c r="K910" s="9" t="s">
        <v>12</v>
      </c>
      <c r="L910" s="9" t="s">
        <v>12</v>
      </c>
      <c r="M910" s="9" t="s">
        <v>1985</v>
      </c>
    </row>
    <row r="911">
      <c r="A911" s="4" t="str">
        <f>hyperlink("http://historiamujeres.es/mujerv.html#Vernegali","Vernegali, Ana")</f>
        <v>Vernegali, Ana</v>
      </c>
      <c r="B911" s="1" t="s">
        <v>12</v>
      </c>
      <c r="C911" s="1" t="s">
        <v>12</v>
      </c>
      <c r="D911" s="1" t="s">
        <v>12</v>
      </c>
      <c r="E911" s="1" t="s">
        <v>27</v>
      </c>
      <c r="F911" s="5">
        <v>1565.0</v>
      </c>
      <c r="G911" s="6" t="s">
        <v>43</v>
      </c>
      <c r="H911" s="6">
        <v>1625.0</v>
      </c>
      <c r="I911" s="1">
        <v>1618.0</v>
      </c>
      <c r="J911" s="1" t="s">
        <v>1986</v>
      </c>
      <c r="K911" s="1" t="s">
        <v>12</v>
      </c>
      <c r="L911" s="3" t="s">
        <v>12</v>
      </c>
      <c r="M911" s="1" t="s">
        <v>1987</v>
      </c>
    </row>
    <row r="912">
      <c r="A912" s="4" t="str">
        <f>hyperlink("http://historiamujeres.es/mujerv.html#Vernegali","Vernegali, Ángela")</f>
        <v>Vernegali, Ángela</v>
      </c>
      <c r="B912" s="1" t="s">
        <v>12</v>
      </c>
      <c r="C912" s="1" t="s">
        <v>12</v>
      </c>
      <c r="D912" s="1" t="s">
        <v>12</v>
      </c>
      <c r="E912" s="1" t="s">
        <v>27</v>
      </c>
      <c r="F912" s="5">
        <v>1565.0</v>
      </c>
      <c r="G912" s="6" t="s">
        <v>43</v>
      </c>
      <c r="H912" s="6">
        <v>1625.0</v>
      </c>
      <c r="I912" s="1">
        <v>1604.0</v>
      </c>
      <c r="J912" s="1" t="s">
        <v>1988</v>
      </c>
      <c r="K912" s="1" t="s">
        <v>12</v>
      </c>
      <c r="L912" s="3" t="s">
        <v>12</v>
      </c>
      <c r="M912" s="1" t="s">
        <v>1989</v>
      </c>
    </row>
    <row r="913">
      <c r="A913" s="4" t="str">
        <f>hyperlink("http://historiamujeres.es/mujerv.html#Vian_Palencia","Vián Palencia, Elisa")</f>
        <v>Vián Palencia, Elisa</v>
      </c>
      <c r="B913" s="1" t="s">
        <v>12</v>
      </c>
      <c r="C913" s="1" t="s">
        <v>1990</v>
      </c>
      <c r="D913" s="1" t="s">
        <v>497</v>
      </c>
      <c r="E913" s="1" t="s">
        <v>129</v>
      </c>
      <c r="F913" s="2">
        <v>1937.0</v>
      </c>
      <c r="G913" s="1" t="s">
        <v>12</v>
      </c>
      <c r="H913" s="1" t="s">
        <v>12</v>
      </c>
      <c r="I913" s="1" t="s">
        <v>12</v>
      </c>
      <c r="J913" s="1" t="s">
        <v>1991</v>
      </c>
      <c r="K913" s="1" t="s">
        <v>1992</v>
      </c>
      <c r="L913" s="3" t="s">
        <v>12</v>
      </c>
      <c r="M913" s="1" t="s">
        <v>12</v>
      </c>
    </row>
    <row r="914">
      <c r="A914" s="4" t="str">
        <f>hyperlink("http://historiamujeres.es/mujerv.html#Vicentz","Vicent Zaragoza, Ana María")</f>
        <v>Vicent Zaragoza, Ana María</v>
      </c>
      <c r="B914" s="1" t="s">
        <v>12</v>
      </c>
      <c r="C914" s="1" t="s">
        <v>1993</v>
      </c>
      <c r="D914" s="1" t="s">
        <v>68</v>
      </c>
      <c r="E914" s="1" t="s">
        <v>24</v>
      </c>
      <c r="F914" s="2">
        <v>1923.0</v>
      </c>
      <c r="G914" s="1" t="s">
        <v>12</v>
      </c>
      <c r="H914" s="1">
        <v>2010.0</v>
      </c>
      <c r="I914" s="1" t="s">
        <v>12</v>
      </c>
      <c r="J914" s="1" t="s">
        <v>697</v>
      </c>
      <c r="K914" s="1" t="s">
        <v>22</v>
      </c>
      <c r="L914" s="3" t="s">
        <v>12</v>
      </c>
      <c r="M914" s="1" t="s">
        <v>1994</v>
      </c>
    </row>
    <row r="915">
      <c r="A915" s="4" t="str">
        <f>hyperlink("http://historiamujeres.es/mujerv.html#Vieira","Vieira Fuentes, Inmaculada")</f>
        <v>Vieira Fuentes, Inmaculada</v>
      </c>
      <c r="B915" s="1" t="s">
        <v>12</v>
      </c>
      <c r="C915" s="1" t="s">
        <v>549</v>
      </c>
      <c r="D915" s="1" t="s">
        <v>1995</v>
      </c>
      <c r="E915" s="1" t="s">
        <v>27</v>
      </c>
      <c r="F915" s="2">
        <v>1967.0</v>
      </c>
      <c r="G915" s="1" t="s">
        <v>12</v>
      </c>
      <c r="H915" s="1">
        <v>1996.0</v>
      </c>
      <c r="I915" s="1" t="s">
        <v>12</v>
      </c>
      <c r="J915" s="1" t="s">
        <v>1996</v>
      </c>
      <c r="K915" s="1" t="s">
        <v>870</v>
      </c>
      <c r="L915" s="3" t="s">
        <v>12</v>
      </c>
      <c r="M915" s="1" t="s">
        <v>1997</v>
      </c>
    </row>
    <row r="916">
      <c r="A916" s="4" t="str">
        <f>hyperlink("http://historiamujeres.es/mujerv.html#Vila","Vila Vilar, Enriqueta")</f>
        <v>Vila Vilar, Enriqueta</v>
      </c>
      <c r="B916" s="1" t="s">
        <v>12</v>
      </c>
      <c r="C916" s="9" t="s">
        <v>27</v>
      </c>
      <c r="D916" s="1" t="s">
        <v>12</v>
      </c>
      <c r="E916" s="1" t="s">
        <v>12</v>
      </c>
      <c r="F916" s="2">
        <v>1935.0</v>
      </c>
      <c r="G916" s="1" t="s">
        <v>12</v>
      </c>
      <c r="H916" s="1" t="s">
        <v>12</v>
      </c>
      <c r="I916" s="1" t="s">
        <v>12</v>
      </c>
      <c r="J916" s="1" t="s">
        <v>1998</v>
      </c>
      <c r="K916" s="1" t="s">
        <v>12</v>
      </c>
      <c r="L916" s="3" t="s">
        <v>12</v>
      </c>
      <c r="M916" s="1" t="s">
        <v>1999</v>
      </c>
    </row>
    <row r="917">
      <c r="A917" s="4" t="str">
        <f>hyperlink("http://historiamujeres.es/mujerv.html#Vilches","Vilches Trujillo, Maruja")</f>
        <v>Vilches Trujillo, Maruja</v>
      </c>
      <c r="B917" s="1" t="s">
        <v>12</v>
      </c>
      <c r="C917" s="1" t="s">
        <v>12</v>
      </c>
      <c r="D917" s="1" t="s">
        <v>12</v>
      </c>
      <c r="E917" s="1" t="s">
        <v>27</v>
      </c>
      <c r="F917" s="2">
        <v>1941.0</v>
      </c>
      <c r="G917" s="1" t="s">
        <v>12</v>
      </c>
      <c r="H917" s="1" t="s">
        <v>12</v>
      </c>
      <c r="I917" s="1" t="s">
        <v>12</v>
      </c>
      <c r="J917" s="1" t="s">
        <v>593</v>
      </c>
      <c r="K917" s="1" t="s">
        <v>2000</v>
      </c>
      <c r="L917" s="3" t="s">
        <v>12</v>
      </c>
      <c r="M917" s="1" t="s">
        <v>2001</v>
      </c>
    </row>
    <row r="918">
      <c r="A918" s="4" t="str">
        <f>hyperlink("http://historiamujeres.es/mujerv.html#VILLALO","Villalobos Talero, Celia")</f>
        <v>Villalobos Talero, Celia</v>
      </c>
      <c r="B918" s="1" t="s">
        <v>12</v>
      </c>
      <c r="C918" s="1" t="s">
        <v>2002</v>
      </c>
      <c r="D918" s="1" t="s">
        <v>12</v>
      </c>
      <c r="E918" s="1" t="s">
        <v>12</v>
      </c>
      <c r="F918" s="2">
        <v>1949.0</v>
      </c>
      <c r="G918" s="1" t="s">
        <v>12</v>
      </c>
      <c r="H918" s="1" t="s">
        <v>12</v>
      </c>
      <c r="I918" s="1" t="s">
        <v>12</v>
      </c>
      <c r="J918" s="1" t="s">
        <v>1288</v>
      </c>
      <c r="K918" s="1" t="s">
        <v>12</v>
      </c>
      <c r="L918" s="3" t="s">
        <v>12</v>
      </c>
      <c r="M918" s="1" t="s">
        <v>12</v>
      </c>
    </row>
    <row r="919">
      <c r="A919" s="4" t="str">
        <f>hyperlink("http://historiamujeres.es/mujerv.html#Villegas","Villegas Sanchez, Rosario")</f>
        <v>Villegas Sanchez, Rosario</v>
      </c>
      <c r="B919" s="1" t="s">
        <v>12</v>
      </c>
      <c r="C919" s="1" t="s">
        <v>12</v>
      </c>
      <c r="D919" s="1" t="s">
        <v>12</v>
      </c>
      <c r="E919" s="1" t="s">
        <v>2003</v>
      </c>
      <c r="F919" s="5">
        <v>1955.0</v>
      </c>
      <c r="G919" s="6" t="s">
        <v>17</v>
      </c>
      <c r="H919" s="1" t="s">
        <v>12</v>
      </c>
      <c r="I919" s="1">
        <v>2002.0</v>
      </c>
      <c r="J919" s="1" t="s">
        <v>2004</v>
      </c>
      <c r="K919" s="1" t="s">
        <v>2005</v>
      </c>
      <c r="L919" s="3" t="s">
        <v>2006</v>
      </c>
      <c r="M919" s="1" t="s">
        <v>2007</v>
      </c>
    </row>
    <row r="920">
      <c r="A920" s="4" t="str">
        <f>hyperlink("http://historiamujeres.es/mujerv.html#Villen","Villén, María")</f>
        <v>Villén, María</v>
      </c>
      <c r="B920" s="1" t="s">
        <v>2008</v>
      </c>
      <c r="C920" s="1" t="s">
        <v>2009</v>
      </c>
      <c r="D920" s="1" t="s">
        <v>178</v>
      </c>
      <c r="E920" s="1" t="s">
        <v>2010</v>
      </c>
      <c r="F920" s="2">
        <v>1871.0</v>
      </c>
      <c r="H920" s="1">
        <v>1961.0</v>
      </c>
      <c r="I920" s="1" t="s">
        <v>12</v>
      </c>
      <c r="J920" s="1" t="s">
        <v>1640</v>
      </c>
      <c r="K920" s="1" t="s">
        <v>772</v>
      </c>
      <c r="L920" s="3" t="s">
        <v>1401</v>
      </c>
      <c r="M920" s="1" t="s">
        <v>2011</v>
      </c>
    </row>
    <row r="921">
      <c r="A921" s="4" t="str">
        <f>hyperlink("https://historiamujeres.es/celia/index.html","Viñas Olivella, Celia")</f>
        <v>Viñas Olivella, Celia</v>
      </c>
      <c r="B921" s="1" t="s">
        <v>12</v>
      </c>
      <c r="C921" s="1" t="s">
        <v>2012</v>
      </c>
      <c r="D921" s="1" t="s">
        <v>26</v>
      </c>
      <c r="E921" s="1" t="s">
        <v>12</v>
      </c>
      <c r="F921" s="2">
        <v>1915.0</v>
      </c>
      <c r="G921" s="1" t="s">
        <v>12</v>
      </c>
      <c r="H921" s="1">
        <v>1954.0</v>
      </c>
      <c r="I921" s="1" t="s">
        <v>12</v>
      </c>
      <c r="J921" s="9" t="s">
        <v>216</v>
      </c>
      <c r="K921" s="1" t="s">
        <v>2013</v>
      </c>
      <c r="L921" s="3" t="s">
        <v>747</v>
      </c>
      <c r="M921" s="9" t="s">
        <v>2014</v>
      </c>
    </row>
    <row r="922">
      <c r="A922" s="4" t="str">
        <f>hyperlink("http://historiamujeres.es/mujerv.html#Virella ","Virella Trinidad, Josefa")</f>
        <v>Virella Trinidad, Josefa</v>
      </c>
      <c r="B922" s="1" t="s">
        <v>12</v>
      </c>
      <c r="C922" s="1" t="s">
        <v>129</v>
      </c>
      <c r="D922" s="1" t="s">
        <v>12</v>
      </c>
      <c r="E922" s="1" t="s">
        <v>12</v>
      </c>
      <c r="F922" s="2">
        <v>1968.0</v>
      </c>
      <c r="G922" s="1" t="s">
        <v>12</v>
      </c>
      <c r="H922" s="1" t="s">
        <v>12</v>
      </c>
      <c r="I922" s="1" t="s">
        <v>12</v>
      </c>
      <c r="J922" s="1" t="s">
        <v>73</v>
      </c>
      <c r="K922" s="1" t="s">
        <v>59</v>
      </c>
      <c r="L922" s="3" t="s">
        <v>12</v>
      </c>
      <c r="M922" s="1" t="s">
        <v>12</v>
      </c>
    </row>
    <row r="923">
      <c r="A923" s="4" t="str">
        <f>hyperlink("http://historiamujeres.es/mujerw.html#Wallada","Wallada bint al-Mustakfi")</f>
        <v>Wallada bint al-Mustakfi</v>
      </c>
      <c r="B923" s="1" t="s">
        <v>12</v>
      </c>
      <c r="C923" s="1" t="s">
        <v>24</v>
      </c>
      <c r="D923" s="1" t="s">
        <v>24</v>
      </c>
      <c r="E923" s="1" t="s">
        <v>12</v>
      </c>
      <c r="F923" s="2">
        <v>1011.0</v>
      </c>
      <c r="G923" s="1" t="s">
        <v>12</v>
      </c>
      <c r="H923" s="1">
        <v>1091.0</v>
      </c>
      <c r="I923" s="1" t="s">
        <v>12</v>
      </c>
      <c r="J923" s="1" t="s">
        <v>73</v>
      </c>
      <c r="K923" s="1" t="s">
        <v>12</v>
      </c>
      <c r="L923" s="3" t="s">
        <v>12</v>
      </c>
      <c r="M923" s="1" t="s">
        <v>2015</v>
      </c>
    </row>
    <row r="924">
      <c r="A924" s="4" t="str">
        <f>hyperlink("http://historiamujeres.es/mujerw.html#Wilhelmi","Wilhelmi, Berta ")</f>
        <v>Wilhelmi, Berta </v>
      </c>
      <c r="B924" s="1" t="s">
        <v>12</v>
      </c>
      <c r="C924" s="1" t="s">
        <v>2016</v>
      </c>
      <c r="D924" s="1" t="s">
        <v>12</v>
      </c>
      <c r="E924" s="1" t="s">
        <v>30</v>
      </c>
      <c r="F924" s="2">
        <v>1858.0</v>
      </c>
      <c r="G924" s="1" t="s">
        <v>12</v>
      </c>
      <c r="H924" s="1">
        <v>1934.0</v>
      </c>
      <c r="I924" s="1" t="s">
        <v>12</v>
      </c>
      <c r="J924" s="1" t="s">
        <v>2017</v>
      </c>
      <c r="K924" s="1" t="s">
        <v>2018</v>
      </c>
      <c r="L924" s="3" t="s">
        <v>80</v>
      </c>
      <c r="M924" s="1" t="s">
        <v>12</v>
      </c>
    </row>
    <row r="925">
      <c r="A925" s="4" t="str">
        <f>hyperlink("http://historiamujeres.es/mujerw.html#Whishaw","Willians y Windsor, Ellen Mary")</f>
        <v>Willians y Windsor, Ellen Mary</v>
      </c>
      <c r="B925" s="1" t="s">
        <v>2019</v>
      </c>
      <c r="C925" s="1" t="s">
        <v>2020</v>
      </c>
      <c r="D925" s="1" t="s">
        <v>2021</v>
      </c>
      <c r="E925" s="1" t="s">
        <v>12</v>
      </c>
      <c r="F925" s="2">
        <v>1857.0</v>
      </c>
      <c r="G925" s="1" t="s">
        <v>12</v>
      </c>
      <c r="H925" s="1">
        <v>1937.0</v>
      </c>
      <c r="I925" s="1" t="s">
        <v>12</v>
      </c>
      <c r="J925" s="1" t="s">
        <v>571</v>
      </c>
      <c r="K925" s="1" t="s">
        <v>404</v>
      </c>
      <c r="L925" s="3" t="s">
        <v>113</v>
      </c>
      <c r="M925" s="1" t="s">
        <v>12</v>
      </c>
    </row>
    <row r="926">
      <c r="A926" s="22" t="str">
        <f>hyperlink("http://historiamujeres.es/mujerw.html#Woolf","Woolf, Virginia")</f>
        <v>Woolf, Virginia</v>
      </c>
      <c r="B926" s="9" t="s">
        <v>2022</v>
      </c>
      <c r="C926" s="9" t="s">
        <v>2023</v>
      </c>
      <c r="D926" s="9" t="s">
        <v>2024</v>
      </c>
      <c r="E926" s="9" t="s">
        <v>2025</v>
      </c>
      <c r="F926" s="9">
        <v>1882.0</v>
      </c>
      <c r="G926" s="9" t="s">
        <v>12</v>
      </c>
      <c r="H926" s="9">
        <v>1941.0</v>
      </c>
      <c r="I926" s="1"/>
      <c r="J926" s="9" t="s">
        <v>113</v>
      </c>
      <c r="K926" s="9" t="s">
        <v>80</v>
      </c>
      <c r="L926" s="14" t="s">
        <v>12</v>
      </c>
      <c r="M926" s="9" t="s">
        <v>2026</v>
      </c>
    </row>
    <row r="927">
      <c r="A927" s="4" t="str">
        <f>hyperlink("http://historiamujeres.es/mujerw.html#Woolsey","Woolsey, Gamel")</f>
        <v>Woolsey, Gamel</v>
      </c>
      <c r="B927" s="1" t="s">
        <v>12</v>
      </c>
      <c r="C927" s="1" t="s">
        <v>2027</v>
      </c>
      <c r="D927" s="1" t="s">
        <v>98</v>
      </c>
      <c r="E927" s="1" t="s">
        <v>12</v>
      </c>
      <c r="F927" s="2">
        <v>1895.0</v>
      </c>
      <c r="G927" s="1" t="s">
        <v>12</v>
      </c>
      <c r="H927" s="1">
        <v>1968.0</v>
      </c>
      <c r="J927" s="1" t="s">
        <v>2028</v>
      </c>
      <c r="K927" s="1" t="s">
        <v>12</v>
      </c>
      <c r="L927" s="3" t="s">
        <v>12</v>
      </c>
      <c r="M927" s="1" t="s">
        <v>2029</v>
      </c>
    </row>
    <row r="928">
      <c r="A928" s="4" t="str">
        <f>hyperlink("http://historiamujeres.es/mujerd.html#Dorita","Yañez García, María")</f>
        <v>Yañez García, María</v>
      </c>
      <c r="B928" s="1" t="s">
        <v>2030</v>
      </c>
      <c r="C928" s="1" t="s">
        <v>374</v>
      </c>
      <c r="D928" s="1" t="s">
        <v>12</v>
      </c>
      <c r="E928" s="1" t="s">
        <v>542</v>
      </c>
      <c r="F928" s="2">
        <v>1901.0</v>
      </c>
      <c r="G928" s="1" t="s">
        <v>12</v>
      </c>
      <c r="H928" s="1">
        <v>2001.0</v>
      </c>
      <c r="I928" s="1" t="s">
        <v>12</v>
      </c>
      <c r="J928" s="1" t="s">
        <v>2031</v>
      </c>
      <c r="K928" s="1" t="s">
        <v>12</v>
      </c>
      <c r="L928" s="3" t="s">
        <v>12</v>
      </c>
      <c r="M928" s="1" t="s">
        <v>2032</v>
      </c>
    </row>
    <row r="929">
      <c r="A929" s="4" t="str">
        <f>hyperlink("http://historiamujeres.es/mujery.html#Yanez","Yáñez González, Esther")</f>
        <v>Yáñez González, Esther</v>
      </c>
      <c r="B929" s="1" t="s">
        <v>12</v>
      </c>
      <c r="C929" s="1" t="s">
        <v>2033</v>
      </c>
      <c r="D929" s="1" t="s">
        <v>12</v>
      </c>
      <c r="E929" s="1" t="s">
        <v>2034</v>
      </c>
      <c r="F929" s="2">
        <v>1972.0</v>
      </c>
      <c r="G929" s="1" t="s">
        <v>12</v>
      </c>
      <c r="H929" s="1" t="s">
        <v>12</v>
      </c>
      <c r="I929" s="1" t="s">
        <v>12</v>
      </c>
      <c r="J929" s="1" t="s">
        <v>2035</v>
      </c>
      <c r="K929" s="1" t="s">
        <v>12</v>
      </c>
      <c r="L929" s="3" t="s">
        <v>12</v>
      </c>
      <c r="M929" s="1" t="s">
        <v>2036</v>
      </c>
    </row>
    <row r="930">
      <c r="A930" s="4" t="str">
        <f>hyperlink("http://historiamujeres.es/mujery.html#YbarraC","Ybarra Mendaro, Cecilia")</f>
        <v>Ybarra Mendaro, Cecilia</v>
      </c>
      <c r="B930" s="1" t="s">
        <v>12</v>
      </c>
      <c r="C930" s="1" t="s">
        <v>27</v>
      </c>
      <c r="D930" s="1" t="s">
        <v>12</v>
      </c>
      <c r="E930" s="1" t="s">
        <v>12</v>
      </c>
      <c r="F930" s="2">
        <v>1933.0</v>
      </c>
      <c r="G930" s="1" t="s">
        <v>12</v>
      </c>
      <c r="H930" s="1" t="s">
        <v>12</v>
      </c>
      <c r="I930" s="1" t="s">
        <v>12</v>
      </c>
      <c r="J930" s="1" t="s">
        <v>65</v>
      </c>
      <c r="K930" s="1" t="s">
        <v>12</v>
      </c>
      <c r="L930" s="3" t="s">
        <v>12</v>
      </c>
      <c r="M930" s="1" t="s">
        <v>12</v>
      </c>
    </row>
    <row r="931">
      <c r="A931" s="4" t="str">
        <f>hyperlink("http://historiamujeres.es/mujery.html#Yebra","Yebra Rittwagen y Alonso de Zuñiga, Carolina de")</f>
        <v>Yebra Rittwagen y Alonso de Zuñiga, Carolina de</v>
      </c>
      <c r="B931" s="1" t="s">
        <v>12</v>
      </c>
      <c r="C931" s="1" t="s">
        <v>26</v>
      </c>
      <c r="D931" s="1" t="s">
        <v>12</v>
      </c>
      <c r="E931" s="1" t="s">
        <v>12</v>
      </c>
      <c r="F931" s="2">
        <v>1881.0</v>
      </c>
      <c r="G931" s="1" t="s">
        <v>12</v>
      </c>
      <c r="H931" s="1">
        <v>1959.0</v>
      </c>
      <c r="I931" s="1" t="s">
        <v>12</v>
      </c>
      <c r="J931" s="1" t="s">
        <v>641</v>
      </c>
      <c r="K931" s="1" t="s">
        <v>12</v>
      </c>
      <c r="L931" s="3" t="s">
        <v>12</v>
      </c>
      <c r="M931" s="1" t="s">
        <v>12</v>
      </c>
    </row>
    <row r="932">
      <c r="A932" s="4" t="str">
        <f>hyperlink("http://historiamujeres.es/mujery.html#Yoldi","Yoldi García, María Concepción")</f>
        <v>Yoldi García, María Concepción</v>
      </c>
      <c r="B932" s="1" t="s">
        <v>12</v>
      </c>
      <c r="C932" s="1" t="s">
        <v>27</v>
      </c>
      <c r="D932" s="1" t="s">
        <v>12</v>
      </c>
      <c r="E932" s="1" t="s">
        <v>12</v>
      </c>
      <c r="F932" s="2">
        <v>1954.0</v>
      </c>
      <c r="G932" s="1" t="s">
        <v>12</v>
      </c>
      <c r="J932" s="1" t="s">
        <v>2037</v>
      </c>
      <c r="K932" s="1" t="s">
        <v>2038</v>
      </c>
      <c r="L932" s="3" t="s">
        <v>12</v>
      </c>
      <c r="M932" s="1" t="s">
        <v>801</v>
      </c>
    </row>
    <row r="933">
      <c r="A933" s="4" t="str">
        <f>hyperlink("http://historiamujeres.es/mujerz.html#Zabell","Zabell Lucas, Teresa")</f>
        <v>Zabell Lucas, Teresa</v>
      </c>
      <c r="B933" s="1" t="s">
        <v>12</v>
      </c>
      <c r="C933" s="1" t="s">
        <v>2039</v>
      </c>
      <c r="D933" s="1" t="s">
        <v>12</v>
      </c>
      <c r="E933" s="1" t="s">
        <v>2040</v>
      </c>
      <c r="F933" s="2">
        <v>1965.0</v>
      </c>
      <c r="G933" s="1" t="s">
        <v>12</v>
      </c>
      <c r="H933" s="1" t="s">
        <v>12</v>
      </c>
      <c r="I933" s="1" t="s">
        <v>12</v>
      </c>
      <c r="J933" s="1" t="s">
        <v>2041</v>
      </c>
      <c r="K933" s="1" t="s">
        <v>1288</v>
      </c>
      <c r="L933" s="3" t="s">
        <v>12</v>
      </c>
      <c r="M933" s="1" t="s">
        <v>2042</v>
      </c>
    </row>
    <row r="934">
      <c r="A934" s="4" t="str">
        <f>hyperlink("http://historiamujeres.es/mujerz.html#Zahra","Zahra")</f>
        <v>Zahra</v>
      </c>
      <c r="B934" s="1" t="s">
        <v>12</v>
      </c>
      <c r="C934" s="1" t="s">
        <v>2043</v>
      </c>
      <c r="D934" s="1" t="s">
        <v>12</v>
      </c>
      <c r="E934" s="1" t="s">
        <v>24</v>
      </c>
      <c r="F934" s="5">
        <v>910.0</v>
      </c>
      <c r="G934" s="6" t="s">
        <v>43</v>
      </c>
      <c r="H934" s="6">
        <v>950.0</v>
      </c>
      <c r="I934" s="1">
        <v>936.0</v>
      </c>
      <c r="J934" s="1" t="s">
        <v>2044</v>
      </c>
      <c r="K934" s="1" t="s">
        <v>12</v>
      </c>
      <c r="L934" s="3" t="s">
        <v>12</v>
      </c>
      <c r="M934" s="1" t="s">
        <v>2045</v>
      </c>
    </row>
    <row r="935">
      <c r="A935" s="4" t="str">
        <f>hyperlink("http://historiamujeres.es/mujerz.html#Zaida","Zaida")</f>
        <v>Zaida</v>
      </c>
      <c r="B935" s="1" t="s">
        <v>2046</v>
      </c>
      <c r="C935" s="1" t="s">
        <v>76</v>
      </c>
      <c r="D935" s="1" t="s">
        <v>2047</v>
      </c>
      <c r="E935" s="1" t="s">
        <v>12</v>
      </c>
      <c r="F935" s="2">
        <v>1063.0</v>
      </c>
      <c r="G935" s="1" t="s">
        <v>12</v>
      </c>
      <c r="H935" s="1">
        <v>1101.0</v>
      </c>
      <c r="I935" s="1" t="s">
        <v>12</v>
      </c>
      <c r="J935" s="1" t="s">
        <v>2048</v>
      </c>
      <c r="K935" s="1" t="s">
        <v>12</v>
      </c>
      <c r="L935" s="3" t="s">
        <v>12</v>
      </c>
      <c r="M935" s="1" t="s">
        <v>2049</v>
      </c>
    </row>
    <row r="936">
      <c r="A936" s="4" t="str">
        <f>hyperlink("http://historiamujeres.es/mujerz.html#Zambrano","Zambrano Alarcón, María")</f>
        <v>Zambrano Alarcón, María</v>
      </c>
      <c r="B936" s="1" t="s">
        <v>12</v>
      </c>
      <c r="C936" s="1" t="s">
        <v>2050</v>
      </c>
      <c r="D936" s="1" t="s">
        <v>68</v>
      </c>
      <c r="E936" s="1" t="s">
        <v>12</v>
      </c>
      <c r="F936" s="2">
        <v>1904.0</v>
      </c>
      <c r="G936" s="1" t="s">
        <v>12</v>
      </c>
      <c r="H936" s="1">
        <v>1991.0</v>
      </c>
      <c r="I936" s="1" t="s">
        <v>12</v>
      </c>
      <c r="J936" s="1" t="s">
        <v>954</v>
      </c>
      <c r="K936" s="1" t="s">
        <v>12</v>
      </c>
      <c r="L936" s="3" t="s">
        <v>12</v>
      </c>
      <c r="M936" s="1" t="s">
        <v>2051</v>
      </c>
    </row>
    <row r="937">
      <c r="A937" s="4" t="str">
        <f>hyperlink("http://historiamujeres.es/mujert.html#Talegona","Zamorano Ruiz, María")</f>
        <v>Zamorano Ruiz, María</v>
      </c>
      <c r="B937" s="1" t="s">
        <v>2052</v>
      </c>
      <c r="C937" s="1" t="s">
        <v>24</v>
      </c>
      <c r="D937" s="1" t="s">
        <v>24</v>
      </c>
      <c r="E937" s="1" t="s">
        <v>12</v>
      </c>
      <c r="F937" s="2">
        <v>1909.0</v>
      </c>
      <c r="G937" s="1" t="s">
        <v>12</v>
      </c>
      <c r="H937" s="1">
        <v>1991.0</v>
      </c>
      <c r="I937" s="1" t="s">
        <v>12</v>
      </c>
      <c r="J937" s="1" t="s">
        <v>69</v>
      </c>
      <c r="K937" s="1" t="s">
        <v>2053</v>
      </c>
      <c r="L937" s="3" t="s">
        <v>12</v>
      </c>
      <c r="M937" s="1" t="s">
        <v>12</v>
      </c>
    </row>
    <row r="938">
      <c r="A938" s="4" t="str">
        <f>hyperlink("http://historiamujeres.es/mujerz.html#Zapata_Borrego","Zapata Borrego, Matilde")</f>
        <v>Zapata Borrego, Matilde</v>
      </c>
      <c r="B938" s="1" t="s">
        <v>12</v>
      </c>
      <c r="C938" s="1" t="s">
        <v>27</v>
      </c>
      <c r="D938" s="1" t="s">
        <v>663</v>
      </c>
      <c r="E938" s="1" t="s">
        <v>12</v>
      </c>
      <c r="F938" s="2">
        <v>1906.0</v>
      </c>
      <c r="G938" s="1" t="s">
        <v>12</v>
      </c>
      <c r="H938" s="1">
        <v>1938.0</v>
      </c>
      <c r="I938" s="1" t="s">
        <v>12</v>
      </c>
      <c r="J938" s="1" t="s">
        <v>2054</v>
      </c>
      <c r="K938" s="1" t="s">
        <v>1091</v>
      </c>
      <c r="L938" s="3" t="s">
        <v>301</v>
      </c>
      <c r="M938" s="1" t="s">
        <v>12</v>
      </c>
    </row>
    <row r="939">
      <c r="A939" s="4" t="str">
        <f>hyperlink("http://historiamujeres.es/mujerz.html#Zapata","Zapata y Cárdenas, María Josefa")</f>
        <v>Zapata y Cárdenas, María Josefa</v>
      </c>
      <c r="B939" s="1" t="s">
        <v>12</v>
      </c>
      <c r="C939" s="1" t="s">
        <v>12</v>
      </c>
      <c r="D939" s="1" t="s">
        <v>12</v>
      </c>
      <c r="E939" s="1" t="s">
        <v>205</v>
      </c>
      <c r="F939" s="2">
        <v>1822.0</v>
      </c>
      <c r="G939" s="1" t="s">
        <v>12</v>
      </c>
      <c r="H939" s="1">
        <v>1878.0</v>
      </c>
      <c r="I939" s="1" t="s">
        <v>12</v>
      </c>
      <c r="J939" s="1" t="s">
        <v>1521</v>
      </c>
      <c r="K939" s="1" t="s">
        <v>80</v>
      </c>
      <c r="L939" s="3" t="s">
        <v>1522</v>
      </c>
      <c r="M939" s="1" t="s">
        <v>1523</v>
      </c>
    </row>
    <row r="940">
      <c r="A940" s="4" t="str">
        <f>hyperlink("http://historiamujeres.es/mujerz.html#Zaragoza","Zaragoza, Rosa")</f>
        <v>Zaragoza, Rosa</v>
      </c>
      <c r="B940" s="1" t="s">
        <v>12</v>
      </c>
      <c r="C940" s="1" t="s">
        <v>2055</v>
      </c>
      <c r="D940" s="1" t="s">
        <v>12</v>
      </c>
      <c r="E940" s="1" t="s">
        <v>2056</v>
      </c>
      <c r="F940" s="5">
        <v>1950.0</v>
      </c>
      <c r="G940" s="6" t="s">
        <v>17</v>
      </c>
      <c r="H940" s="1" t="s">
        <v>12</v>
      </c>
      <c r="I940" s="1">
        <v>1984.0</v>
      </c>
      <c r="J940" s="1" t="s">
        <v>51</v>
      </c>
      <c r="K940" s="1" t="s">
        <v>2057</v>
      </c>
      <c r="L940" s="3" t="s">
        <v>12</v>
      </c>
      <c r="M940" s="1" t="s">
        <v>2058</v>
      </c>
    </row>
    <row r="941">
      <c r="A941" s="4" t="str">
        <f>hyperlink("http://historiamujeres.es/mujerz.html#Zaynab","Zaynab bint Ziyad")</f>
        <v>Zaynab bint Ziyad</v>
      </c>
      <c r="B941" s="1" t="s">
        <v>12</v>
      </c>
      <c r="C941" s="1" t="s">
        <v>941</v>
      </c>
      <c r="D941" s="1" t="s">
        <v>12</v>
      </c>
      <c r="E941" s="1" t="s">
        <v>12</v>
      </c>
      <c r="F941" s="5">
        <v>1125.0</v>
      </c>
      <c r="G941" s="6" t="s">
        <v>43</v>
      </c>
      <c r="H941" s="6">
        <v>1185.0</v>
      </c>
      <c r="I941" s="1" t="s">
        <v>12</v>
      </c>
      <c r="J941" s="1" t="s">
        <v>187</v>
      </c>
      <c r="K941" s="1" t="s">
        <v>12</v>
      </c>
      <c r="L941" s="3" t="s">
        <v>12</v>
      </c>
      <c r="M941" s="1" t="s">
        <v>942</v>
      </c>
    </row>
    <row r="942">
      <c r="A942" s="4" t="str">
        <f>hyperlink("http://historiamujeres.es/mujerz.html#Zoraya","Zoraya")</f>
        <v>Zoraya</v>
      </c>
      <c r="B942" s="1" t="s">
        <v>2059</v>
      </c>
      <c r="C942" s="1" t="s">
        <v>12</v>
      </c>
      <c r="D942" s="1" t="s">
        <v>12</v>
      </c>
      <c r="E942" s="1" t="s">
        <v>30</v>
      </c>
      <c r="F942" s="5">
        <v>1450.0</v>
      </c>
      <c r="G942" s="6" t="s">
        <v>43</v>
      </c>
      <c r="H942" s="6">
        <v>1500.0</v>
      </c>
      <c r="I942" s="1">
        <v>1469.0</v>
      </c>
      <c r="J942" s="1" t="s">
        <v>2060</v>
      </c>
      <c r="K942" s="1" t="s">
        <v>12</v>
      </c>
      <c r="L942" s="3" t="s">
        <v>12</v>
      </c>
      <c r="M942" s="1" t="s">
        <v>2061</v>
      </c>
    </row>
    <row r="943">
      <c r="A943" s="4" t="str">
        <f>hyperlink("http://historiamujeres.es/mujerz.html#Zuloaga","Zuloaga, Francisca de Paula")</f>
        <v>Zuloaga, Francisca de Paula</v>
      </c>
      <c r="B943" s="1" t="s">
        <v>12</v>
      </c>
      <c r="C943" s="1" t="s">
        <v>1390</v>
      </c>
      <c r="D943" s="1" t="s">
        <v>12</v>
      </c>
      <c r="E943" s="1" t="s">
        <v>27</v>
      </c>
      <c r="F943" s="5">
        <v>1770.0</v>
      </c>
      <c r="G943" s="6" t="s">
        <v>43</v>
      </c>
      <c r="H943" s="6">
        <v>1850.0</v>
      </c>
      <c r="I943" s="1">
        <v>1807.0</v>
      </c>
      <c r="J943" s="1" t="s">
        <v>578</v>
      </c>
      <c r="K943" s="1" t="s">
        <v>12</v>
      </c>
      <c r="L943" s="3" t="s">
        <v>12</v>
      </c>
      <c r="M943" s="1" t="s">
        <v>2062</v>
      </c>
    </row>
    <row r="944">
      <c r="A944" s="40" t="str">
        <f>hyperlink("http://historiamujeres.es/mujerz.html#Zurera","Zurera López, Soledad")</f>
        <v>Zurera López, Soledad</v>
      </c>
      <c r="B944" s="59" t="s">
        <v>12</v>
      </c>
      <c r="C944" s="59" t="s">
        <v>24</v>
      </c>
      <c r="D944" s="59" t="s">
        <v>12</v>
      </c>
      <c r="E944" s="59" t="s">
        <v>1390</v>
      </c>
      <c r="F944" s="64">
        <v>1947.0</v>
      </c>
      <c r="G944" s="59" t="s">
        <v>12</v>
      </c>
      <c r="H944" s="59" t="s">
        <v>12</v>
      </c>
      <c r="I944" s="59" t="s">
        <v>12</v>
      </c>
      <c r="J944" s="59" t="s">
        <v>216</v>
      </c>
      <c r="K944" s="59" t="s">
        <v>2063</v>
      </c>
      <c r="L944" s="65" t="s">
        <v>2064</v>
      </c>
      <c r="M944" s="59" t="s">
        <v>12</v>
      </c>
    </row>
    <row r="945">
      <c r="A945" s="66"/>
      <c r="B945" s="9"/>
      <c r="C945" s="9"/>
      <c r="D945" s="9"/>
      <c r="E945" s="9"/>
      <c r="F945" s="9"/>
      <c r="G945" s="9"/>
      <c r="H945" s="9"/>
      <c r="I945" s="9"/>
      <c r="J945" s="9"/>
      <c r="K945" s="9"/>
      <c r="L945" s="9"/>
      <c r="M945" s="9"/>
    </row>
    <row r="946">
      <c r="C946" s="9"/>
      <c r="D946" s="9"/>
      <c r="E946" s="9"/>
      <c r="F946" s="9"/>
      <c r="G946" s="9"/>
      <c r="H946" s="9"/>
      <c r="I946" s="9"/>
      <c r="J946" s="9"/>
      <c r="K946" s="9"/>
      <c r="L946" s="9"/>
      <c r="M946" s="9"/>
    </row>
    <row r="947">
      <c r="A947" s="66"/>
      <c r="B947" s="9"/>
      <c r="C947" s="9"/>
      <c r="D947" s="9"/>
      <c r="E947" s="9"/>
      <c r="F947" s="9"/>
      <c r="G947" s="9"/>
      <c r="H947" s="9"/>
      <c r="I947" s="9"/>
      <c r="J947" s="9"/>
      <c r="K947" s="9"/>
      <c r="L947" s="9"/>
      <c r="M947" s="9"/>
    </row>
    <row r="948">
      <c r="A948" s="66"/>
      <c r="C948" s="9"/>
      <c r="D948" s="9"/>
      <c r="E948" s="9"/>
      <c r="F948" s="9"/>
      <c r="G948" s="9"/>
      <c r="H948" s="9"/>
      <c r="I948" s="9"/>
      <c r="J948" s="9"/>
      <c r="K948" s="9"/>
      <c r="L948" s="9"/>
      <c r="M948" s="9"/>
    </row>
    <row r="949">
      <c r="A949" s="66"/>
      <c r="B949" s="9"/>
      <c r="C949" s="9"/>
      <c r="D949" s="9"/>
      <c r="E949" s="9"/>
      <c r="F949" s="9"/>
      <c r="G949" s="9"/>
      <c r="H949" s="9"/>
      <c r="I949" s="9"/>
      <c r="J949" s="9"/>
      <c r="K949" s="9"/>
      <c r="L949" s="9"/>
      <c r="M949" s="9"/>
    </row>
    <row r="950">
      <c r="A950" s="66"/>
      <c r="B950" s="9"/>
      <c r="C950" s="9"/>
      <c r="D950" s="9"/>
      <c r="E950" s="9"/>
      <c r="F950" s="9"/>
      <c r="G950" s="9"/>
      <c r="H950" s="9"/>
      <c r="I950" s="9"/>
      <c r="J950" s="9"/>
      <c r="K950" s="9"/>
      <c r="L950" s="9"/>
      <c r="M950" s="9"/>
    </row>
    <row r="951">
      <c r="A951" s="66"/>
      <c r="B951" s="9"/>
      <c r="C951" s="9"/>
      <c r="D951" s="9"/>
      <c r="E951" s="9"/>
      <c r="F951" s="9"/>
      <c r="G951" s="9"/>
      <c r="H951" s="9"/>
      <c r="I951" s="9"/>
      <c r="J951" s="9"/>
      <c r="K951" s="9"/>
      <c r="L951" s="9"/>
      <c r="M951" s="9"/>
    </row>
    <row r="952">
      <c r="A952" s="66"/>
      <c r="B952" s="9"/>
      <c r="C952" s="9"/>
      <c r="D952" s="9"/>
      <c r="E952" s="9"/>
      <c r="F952" s="9"/>
      <c r="G952" s="9"/>
      <c r="H952" s="9"/>
      <c r="I952" s="9"/>
      <c r="J952" s="9"/>
      <c r="K952" s="9"/>
      <c r="L952" s="9"/>
      <c r="M952" s="9"/>
    </row>
    <row r="953">
      <c r="A953" s="66"/>
      <c r="B953" s="9"/>
      <c r="C953" s="9"/>
      <c r="D953" s="9"/>
      <c r="E953" s="9"/>
      <c r="F953" s="9"/>
      <c r="G953" s="9"/>
      <c r="H953" s="9"/>
      <c r="I953" s="9"/>
      <c r="J953" s="9"/>
      <c r="K953" s="9"/>
      <c r="L953" s="9"/>
      <c r="M953" s="9"/>
    </row>
  </sheetData>
  <hyperlinks>
    <hyperlink r:id="rId1" ref="A84"/>
    <hyperlink r:id="rId2" ref="A96"/>
    <hyperlink r:id="rId3" location="Cayuela_" ref="A161"/>
    <hyperlink r:id="rId4" ref="A174"/>
    <hyperlink r:id="rId5" ref="A187"/>
    <hyperlink r:id="rId6" location="Cuesta_Llamas" ref="A198"/>
    <hyperlink r:id="rId7" ref="A203"/>
    <hyperlink r:id="rId8" ref="A235"/>
    <hyperlink r:id="rId9" ref="A244"/>
    <hyperlink r:id="rId10" ref="A303"/>
    <hyperlink r:id="rId11" location="Galvez_Marin" ref="A320"/>
    <hyperlink r:id="rId12" ref="A322"/>
    <hyperlink r:id="rId13" ref="A351"/>
    <hyperlink r:id="rId14" ref="A353"/>
    <hyperlink r:id="rId15" location="Guardiola" ref="A381"/>
    <hyperlink r:id="rId16" ref="A403"/>
    <hyperlink r:id="rId17" ref="A464"/>
    <hyperlink r:id="rId18" ref="A481"/>
    <hyperlink r:id="rId19" ref="A533"/>
    <hyperlink r:id="rId20" location="Medina_Rocio" ref="A563"/>
    <hyperlink r:id="rId21" location="Moll_" ref="A588"/>
    <hyperlink r:id="rId22" ref="A593"/>
    <hyperlink r:id="rId23" ref="A612"/>
    <hyperlink r:id="rId24" location="Pelaez_Silvia" ref="A674"/>
    <hyperlink r:id="rId25" ref="A729"/>
    <hyperlink r:id="rId26" ref="A730"/>
    <hyperlink r:id="rId27" ref="A744"/>
    <hyperlink r:id="rId28" ref="A757"/>
    <hyperlink r:id="rId29" ref="A763"/>
    <hyperlink r:id="rId30" ref="A775"/>
    <hyperlink r:id="rId31" location="Sanchez_Rodriguez_Maria" ref="A816"/>
    <hyperlink r:id="rId32" location="Vera_Pilar" ref="A910"/>
  </hyperlinks>
  <printOptions gridLines="1" horizontalCentered="1"/>
  <pageMargins bottom="0.75" footer="0.0" header="0.0" left="0.7" right="0.7" top="0.75"/>
  <pageSetup fitToHeight="0" paperSize="9" cellComments="atEnd" orientation="landscape" pageOrder="overThenDown"/>
  <drawing r:id="rId33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sheetData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sheetData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sheetData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2.75"/>
  <cols>
    <col customWidth="1" min="1" max="20" width="15.13"/>
  </cols>
  <sheetData/>
  <drawing r:id="rId1"/>
</worksheet>
</file>